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rfocl.sharepoint.com/sites/Gaf_Presupuesto/Documentos compartidos/2025/GLOSAS/13 ENERO/INNOVA/Numeral 11, Artículo 14/"/>
    </mc:Choice>
  </mc:AlternateContent>
  <xr:revisionPtr revIDLastSave="0" documentId="8_{CE10D576-8CEF-4750-AFB9-6AE1D5CAF0F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" sheetId="1" r:id="rId1"/>
    <sheet name="Tablas_Resumenes" sheetId="9" r:id="rId2"/>
    <sheet name="Datos" sheetId="7" state="hidden" r:id="rId3"/>
    <sheet name="BD_Servicios" sheetId="5" state="hidden" r:id="rId4"/>
    <sheet name="L_Conversion" sheetId="6" state="hidden" r:id="rId5"/>
  </sheets>
  <definedNames>
    <definedName name="_xlnm._FilterDatabase" localSheetId="3" hidden="1">BD_Servicios!$A$1:$D$284</definedName>
    <definedName name="_xlnm._FilterDatabase" localSheetId="0" hidden="1">L!$A$1:$BG$2</definedName>
    <definedName name="_xlnm.Print_Area" localSheetId="2">Datos!$A$199:$O$269</definedName>
    <definedName name="_xlnm.Print_Area" localSheetId="4">L_Conversion!$A$1:$D$153</definedName>
    <definedName name="CAT_LIC_H">Datos!$C$9:$C$24</definedName>
    <definedName name="Codigo">BD_Servicios!$A$2:$D$396</definedName>
    <definedName name="Dias_licencia_tipo_8_H">L_Conversion!$E$3:$E$8</definedName>
    <definedName name="Dias_Licencia_Tipo_8_M">L_Conversion!$D$3:$D$16</definedName>
    <definedName name="Mes_Inicio_Termino">L_Conversion!$C$116:$D$129</definedName>
    <definedName name="Tabla_01_Mes">L_Conversion!$B$143:$B$156</definedName>
    <definedName name="Tabla_04_Estado_Resolucion">L_Conversion!$B$181:$B$186</definedName>
    <definedName name="Tabla_04_Sist.Rem">L_Conversion!$B$4:$B$18</definedName>
    <definedName name="Tabla_06_10_40_60_70_EUS">L_Conversion!$B$24:$B$34</definedName>
    <definedName name="Tabla_06_11_12_15076_19664">L_Conversion!$B$36</definedName>
    <definedName name="Tabla_06_13">L_Conversion!$B$90:$B$92</definedName>
    <definedName name="Tabla_06_14">L_Conversion!$B$94:$B$97</definedName>
    <definedName name="Tabla_06_15">L_Conversion!$B$99:$B$105</definedName>
    <definedName name="Tabla_06_20_Fiscalizadores">L_Conversion!$B$46:$B$53</definedName>
    <definedName name="Tabla_06_30_Poder_Judicial">L_Conversion!$B$55:$B$57</definedName>
    <definedName name="Tabla_06_50_Ministerio_Publico">L_Conversion!$B$59:$B$65</definedName>
    <definedName name="Tabla_06_80_Codigo_del_Trabajo">L_Conversion!$B$67:$B$79</definedName>
    <definedName name="Tabla_06_90_Personal_Fuera_de_Dotacion">L_Conversion!$B$81:$B$88</definedName>
    <definedName name="Tabla_06_DFL29_61_Experimentales">L_Conversion!$B$38:$B$44</definedName>
    <definedName name="Tabla_07_Personal_de_la_Dotacion">L_Conversion!$B$124:$B$128</definedName>
    <definedName name="Tabla_07_Personal_Fuera_de_Dotacion">L_Conversion!$B$130:$B$138</definedName>
    <definedName name="Tabla_18_Tipos_licencias">L_Conversion!$B$161:$B$175</definedName>
    <definedName name="Tabla_27_Matriz_Base">L_Conversion!$B$190:$B$195</definedName>
    <definedName name="Tabla_33_estado_recuperacion">L_Conversion!$B$217:$B$220</definedName>
    <definedName name="Tabla_Personal">L_Conversion!$B$197:$B$210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85" i="1" l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BG85" i="1" s="1"/>
  <c r="AP85" i="1"/>
  <c r="AO85" i="1"/>
  <c r="AN85" i="1"/>
  <c r="AM85" i="1"/>
  <c r="AL85" i="1"/>
  <c r="AJ85" i="1"/>
  <c r="AK85" i="1" s="1"/>
  <c r="AI85" i="1"/>
  <c r="AH85" i="1"/>
  <c r="AF85" i="1"/>
  <c r="AE85" i="1"/>
  <c r="AC85" i="1"/>
  <c r="AD85" i="1" s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J84" i="1"/>
  <c r="AK84" i="1" s="1"/>
  <c r="AI84" i="1"/>
  <c r="AH84" i="1"/>
  <c r="AF84" i="1"/>
  <c r="AE84" i="1"/>
  <c r="AC84" i="1"/>
  <c r="AD84" i="1" s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BG83" i="1" s="1"/>
  <c r="AP83" i="1"/>
  <c r="AO83" i="1"/>
  <c r="AN83" i="1"/>
  <c r="AM83" i="1"/>
  <c r="AL83" i="1"/>
  <c r="AJ83" i="1"/>
  <c r="AK83" i="1" s="1"/>
  <c r="AI83" i="1"/>
  <c r="AH83" i="1"/>
  <c r="AF83" i="1"/>
  <c r="AE83" i="1"/>
  <c r="AC83" i="1"/>
  <c r="AD83" i="1" s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J82" i="1"/>
  <c r="AK82" i="1" s="1"/>
  <c r="AI82" i="1"/>
  <c r="AH82" i="1"/>
  <c r="AF82" i="1"/>
  <c r="AE82" i="1"/>
  <c r="AC82" i="1"/>
  <c r="AD82" i="1" s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BG81" i="1" s="1"/>
  <c r="AP81" i="1"/>
  <c r="AO81" i="1"/>
  <c r="AN81" i="1"/>
  <c r="AM81" i="1"/>
  <c r="AL81" i="1"/>
  <c r="AJ81" i="1"/>
  <c r="AK81" i="1" s="1"/>
  <c r="AI81" i="1"/>
  <c r="AH81" i="1"/>
  <c r="AF81" i="1"/>
  <c r="AE81" i="1"/>
  <c r="AC81" i="1"/>
  <c r="AD81" i="1" s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J80" i="1"/>
  <c r="AK80" i="1" s="1"/>
  <c r="AI80" i="1"/>
  <c r="AH80" i="1"/>
  <c r="AF80" i="1"/>
  <c r="AE80" i="1"/>
  <c r="AC80" i="1"/>
  <c r="AD80" i="1" s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J79" i="1"/>
  <c r="AK79" i="1" s="1"/>
  <c r="AI79" i="1"/>
  <c r="AH79" i="1"/>
  <c r="AF79" i="1"/>
  <c r="AE79" i="1"/>
  <c r="AC79" i="1"/>
  <c r="AD79" i="1" s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J78" i="1"/>
  <c r="AK78" i="1" s="1"/>
  <c r="AI78" i="1"/>
  <c r="AH78" i="1"/>
  <c r="AF78" i="1"/>
  <c r="AE78" i="1"/>
  <c r="AC78" i="1"/>
  <c r="AD78" i="1" s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BG77" i="1" s="1"/>
  <c r="AP77" i="1"/>
  <c r="AO77" i="1"/>
  <c r="AN77" i="1"/>
  <c r="AM77" i="1"/>
  <c r="AL77" i="1"/>
  <c r="AJ77" i="1"/>
  <c r="AK77" i="1" s="1"/>
  <c r="AI77" i="1"/>
  <c r="AH77" i="1"/>
  <c r="AF77" i="1"/>
  <c r="AE77" i="1"/>
  <c r="AC77" i="1"/>
  <c r="AD77" i="1" s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J76" i="1"/>
  <c r="AK76" i="1" s="1"/>
  <c r="AI76" i="1"/>
  <c r="AH76" i="1"/>
  <c r="AF76" i="1"/>
  <c r="AE76" i="1"/>
  <c r="AC76" i="1"/>
  <c r="AD76" i="1" s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J75" i="1"/>
  <c r="AK75" i="1" s="1"/>
  <c r="AI75" i="1"/>
  <c r="AH75" i="1"/>
  <c r="AF75" i="1"/>
  <c r="AE75" i="1"/>
  <c r="AC75" i="1"/>
  <c r="AD75" i="1" s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BG74" i="1" s="1"/>
  <c r="AP74" i="1"/>
  <c r="AO74" i="1"/>
  <c r="AN74" i="1"/>
  <c r="AM74" i="1"/>
  <c r="AL74" i="1"/>
  <c r="AJ74" i="1"/>
  <c r="AK74" i="1" s="1"/>
  <c r="AI74" i="1"/>
  <c r="AH74" i="1"/>
  <c r="AF74" i="1"/>
  <c r="AE74" i="1"/>
  <c r="AC74" i="1"/>
  <c r="AD74" i="1" s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J73" i="1"/>
  <c r="AK73" i="1" s="1"/>
  <c r="AI73" i="1"/>
  <c r="AH73" i="1"/>
  <c r="AF73" i="1"/>
  <c r="AE73" i="1"/>
  <c r="AC73" i="1"/>
  <c r="AD73" i="1" s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BG72" i="1" s="1"/>
  <c r="AP72" i="1"/>
  <c r="AO72" i="1"/>
  <c r="AN72" i="1"/>
  <c r="AM72" i="1"/>
  <c r="AL72" i="1"/>
  <c r="AJ72" i="1"/>
  <c r="AK72" i="1" s="1"/>
  <c r="AI72" i="1"/>
  <c r="AH72" i="1"/>
  <c r="AF72" i="1"/>
  <c r="AE72" i="1"/>
  <c r="AC72" i="1"/>
  <c r="AD72" i="1" s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J71" i="1"/>
  <c r="AK71" i="1" s="1"/>
  <c r="AI71" i="1"/>
  <c r="AH71" i="1"/>
  <c r="AF71" i="1"/>
  <c r="AE71" i="1"/>
  <c r="AC71" i="1"/>
  <c r="AD71" i="1" s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J70" i="1"/>
  <c r="AK70" i="1" s="1"/>
  <c r="AI70" i="1"/>
  <c r="AH70" i="1"/>
  <c r="AF70" i="1"/>
  <c r="AE70" i="1"/>
  <c r="AC70" i="1"/>
  <c r="AD70" i="1" s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BG69" i="1" s="1"/>
  <c r="AP69" i="1"/>
  <c r="AO69" i="1"/>
  <c r="AN69" i="1"/>
  <c r="AM69" i="1"/>
  <c r="AL69" i="1"/>
  <c r="AJ69" i="1"/>
  <c r="AK69" i="1" s="1"/>
  <c r="AI69" i="1"/>
  <c r="AH69" i="1"/>
  <c r="AF69" i="1"/>
  <c r="AE69" i="1"/>
  <c r="AC69" i="1"/>
  <c r="AD69" i="1" s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J68" i="1"/>
  <c r="AK68" i="1" s="1"/>
  <c r="AI68" i="1"/>
  <c r="AH68" i="1"/>
  <c r="AF68" i="1"/>
  <c r="AE68" i="1"/>
  <c r="AC68" i="1"/>
  <c r="AD68" i="1" s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J67" i="1"/>
  <c r="AK67" i="1" s="1"/>
  <c r="AI67" i="1"/>
  <c r="AH67" i="1"/>
  <c r="AF67" i="1"/>
  <c r="AE67" i="1"/>
  <c r="AC67" i="1"/>
  <c r="AD67" i="1" s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J66" i="1"/>
  <c r="AK66" i="1" s="1"/>
  <c r="AI66" i="1"/>
  <c r="AH66" i="1"/>
  <c r="AF66" i="1"/>
  <c r="AE66" i="1"/>
  <c r="AC66" i="1"/>
  <c r="AD66" i="1" s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BG65" i="1" s="1"/>
  <c r="AP65" i="1"/>
  <c r="AO65" i="1"/>
  <c r="AN65" i="1"/>
  <c r="AM65" i="1"/>
  <c r="AL65" i="1"/>
  <c r="AJ65" i="1"/>
  <c r="AK65" i="1" s="1"/>
  <c r="AI65" i="1"/>
  <c r="AH65" i="1"/>
  <c r="AF65" i="1"/>
  <c r="AE65" i="1"/>
  <c r="AC65" i="1"/>
  <c r="AD65" i="1" s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J64" i="1"/>
  <c r="AK64" i="1" s="1"/>
  <c r="AI64" i="1"/>
  <c r="AH64" i="1"/>
  <c r="AF64" i="1"/>
  <c r="AE64" i="1"/>
  <c r="AC64" i="1"/>
  <c r="AD64" i="1" s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J63" i="1"/>
  <c r="AK63" i="1" s="1"/>
  <c r="AI63" i="1"/>
  <c r="AH63" i="1"/>
  <c r="AF63" i="1"/>
  <c r="AE63" i="1"/>
  <c r="AC63" i="1"/>
  <c r="AD63" i="1" s="1"/>
  <c r="BF62" i="1"/>
  <c r="BE62" i="1"/>
  <c r="BD62" i="1"/>
  <c r="BC62" i="1"/>
  <c r="BB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J62" i="1"/>
  <c r="AK62" i="1" s="1"/>
  <c r="AI62" i="1"/>
  <c r="AH62" i="1"/>
  <c r="AF62" i="1"/>
  <c r="AE62" i="1"/>
  <c r="AC62" i="1"/>
  <c r="AD62" i="1" s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J61" i="1"/>
  <c r="AK61" i="1" s="1"/>
  <c r="AI61" i="1"/>
  <c r="AH61" i="1"/>
  <c r="AF61" i="1"/>
  <c r="AE61" i="1"/>
  <c r="AC61" i="1"/>
  <c r="AD61" i="1" s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J60" i="1"/>
  <c r="AK60" i="1" s="1"/>
  <c r="AI60" i="1"/>
  <c r="AH60" i="1"/>
  <c r="AF60" i="1"/>
  <c r="AE60" i="1"/>
  <c r="AC60" i="1"/>
  <c r="AD60" i="1" s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J59" i="1"/>
  <c r="AK59" i="1" s="1"/>
  <c r="AI59" i="1"/>
  <c r="AH59" i="1"/>
  <c r="AF59" i="1"/>
  <c r="AE59" i="1"/>
  <c r="AC59" i="1"/>
  <c r="AD59" i="1" s="1"/>
  <c r="BF58" i="1"/>
  <c r="BE58" i="1"/>
  <c r="BD58" i="1"/>
  <c r="BC58" i="1"/>
  <c r="BB58" i="1"/>
  <c r="BA58" i="1"/>
  <c r="AZ58" i="1"/>
  <c r="AY58" i="1"/>
  <c r="AX58" i="1"/>
  <c r="AW58" i="1"/>
  <c r="AV58" i="1"/>
  <c r="AU58" i="1"/>
  <c r="AT58" i="1"/>
  <c r="AS58" i="1"/>
  <c r="AR58" i="1"/>
  <c r="AQ58" i="1"/>
  <c r="BG58" i="1" s="1"/>
  <c r="AP58" i="1"/>
  <c r="AO58" i="1"/>
  <c r="AN58" i="1"/>
  <c r="AM58" i="1"/>
  <c r="AL58" i="1"/>
  <c r="AJ58" i="1"/>
  <c r="AK58" i="1" s="1"/>
  <c r="AI58" i="1"/>
  <c r="AH58" i="1"/>
  <c r="AF58" i="1"/>
  <c r="AE58" i="1"/>
  <c r="AC58" i="1"/>
  <c r="AD58" i="1" s="1"/>
  <c r="BF57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J57" i="1"/>
  <c r="AK57" i="1" s="1"/>
  <c r="AI57" i="1"/>
  <c r="AH57" i="1"/>
  <c r="AF57" i="1"/>
  <c r="AE57" i="1"/>
  <c r="AC57" i="1"/>
  <c r="AD57" i="1" s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BG56" i="1" s="1"/>
  <c r="AP56" i="1"/>
  <c r="AO56" i="1"/>
  <c r="AN56" i="1"/>
  <c r="AM56" i="1"/>
  <c r="AL56" i="1"/>
  <c r="AJ56" i="1"/>
  <c r="AK56" i="1" s="1"/>
  <c r="AI56" i="1"/>
  <c r="AH56" i="1"/>
  <c r="AF56" i="1"/>
  <c r="AE56" i="1"/>
  <c r="AC56" i="1"/>
  <c r="AD56" i="1" s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J55" i="1"/>
  <c r="AK55" i="1" s="1"/>
  <c r="AI55" i="1"/>
  <c r="AH55" i="1"/>
  <c r="AF55" i="1"/>
  <c r="AE55" i="1"/>
  <c r="AC55" i="1"/>
  <c r="AD55" i="1" s="1"/>
  <c r="BF54" i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J54" i="1"/>
  <c r="AK54" i="1" s="1"/>
  <c r="AI54" i="1"/>
  <c r="AH54" i="1"/>
  <c r="AF54" i="1"/>
  <c r="AE54" i="1"/>
  <c r="AC54" i="1"/>
  <c r="AD54" i="1" s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BG53" i="1" s="1"/>
  <c r="AP53" i="1"/>
  <c r="AO53" i="1"/>
  <c r="AN53" i="1"/>
  <c r="AM53" i="1"/>
  <c r="AL53" i="1"/>
  <c r="AJ53" i="1"/>
  <c r="AK53" i="1" s="1"/>
  <c r="AI53" i="1"/>
  <c r="AH53" i="1"/>
  <c r="AF53" i="1"/>
  <c r="AE53" i="1"/>
  <c r="AC53" i="1"/>
  <c r="AD53" i="1" s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J52" i="1"/>
  <c r="AK52" i="1" s="1"/>
  <c r="AI52" i="1"/>
  <c r="AH52" i="1"/>
  <c r="AF52" i="1"/>
  <c r="AE52" i="1"/>
  <c r="AC52" i="1"/>
  <c r="AD52" i="1" s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J51" i="1"/>
  <c r="AK51" i="1" s="1"/>
  <c r="AI51" i="1"/>
  <c r="AH51" i="1"/>
  <c r="AF51" i="1"/>
  <c r="AE51" i="1"/>
  <c r="AC51" i="1"/>
  <c r="AD51" i="1" s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J50" i="1"/>
  <c r="AK50" i="1" s="1"/>
  <c r="AI50" i="1"/>
  <c r="AH50" i="1"/>
  <c r="AF50" i="1"/>
  <c r="AE50" i="1"/>
  <c r="AC50" i="1"/>
  <c r="AD50" i="1" s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J49" i="1"/>
  <c r="AK49" i="1" s="1"/>
  <c r="AI49" i="1"/>
  <c r="AH49" i="1"/>
  <c r="AF49" i="1"/>
  <c r="AE49" i="1"/>
  <c r="AC49" i="1"/>
  <c r="AD49" i="1" s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J48" i="1"/>
  <c r="AK48" i="1" s="1"/>
  <c r="AI48" i="1"/>
  <c r="AH48" i="1"/>
  <c r="AF48" i="1"/>
  <c r="AE48" i="1"/>
  <c r="AC48" i="1"/>
  <c r="AD48" i="1" s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J47" i="1"/>
  <c r="AK47" i="1" s="1"/>
  <c r="AI47" i="1"/>
  <c r="AH47" i="1"/>
  <c r="AF47" i="1"/>
  <c r="AE47" i="1"/>
  <c r="AC47" i="1"/>
  <c r="AD47" i="1" s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F46" i="1"/>
  <c r="AE46" i="1"/>
  <c r="AC46" i="1"/>
  <c r="AD46" i="1" s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J45" i="1"/>
  <c r="AK45" i="1" s="1"/>
  <c r="AI45" i="1"/>
  <c r="AH45" i="1"/>
  <c r="AF45" i="1"/>
  <c r="AE45" i="1"/>
  <c r="AC45" i="1"/>
  <c r="AD45" i="1" s="1"/>
  <c r="BF44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J44" i="1"/>
  <c r="AK44" i="1" s="1"/>
  <c r="AI44" i="1"/>
  <c r="AH44" i="1"/>
  <c r="AF44" i="1"/>
  <c r="AE44" i="1"/>
  <c r="AC44" i="1"/>
  <c r="AD44" i="1" s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J43" i="1"/>
  <c r="AK43" i="1" s="1"/>
  <c r="AI43" i="1"/>
  <c r="AH43" i="1"/>
  <c r="AF43" i="1"/>
  <c r="AE43" i="1"/>
  <c r="AC43" i="1"/>
  <c r="AD43" i="1" s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BG42" i="1" s="1"/>
  <c r="AP42" i="1"/>
  <c r="AO42" i="1"/>
  <c r="AN42" i="1"/>
  <c r="AM42" i="1"/>
  <c r="AL42" i="1"/>
  <c r="AJ42" i="1"/>
  <c r="AK42" i="1" s="1"/>
  <c r="AI42" i="1"/>
  <c r="AH42" i="1"/>
  <c r="AF42" i="1"/>
  <c r="AE42" i="1"/>
  <c r="AC42" i="1"/>
  <c r="AD42" i="1" s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J41" i="1"/>
  <c r="AK41" i="1" s="1"/>
  <c r="AI41" i="1"/>
  <c r="AH41" i="1"/>
  <c r="AF41" i="1"/>
  <c r="AE41" i="1"/>
  <c r="AC41" i="1"/>
  <c r="AD41" i="1" s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J40" i="1"/>
  <c r="AK40" i="1" s="1"/>
  <c r="AI40" i="1"/>
  <c r="AH40" i="1"/>
  <c r="AF40" i="1"/>
  <c r="AE40" i="1"/>
  <c r="AC40" i="1"/>
  <c r="AD40" i="1" s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J39" i="1"/>
  <c r="AK39" i="1" s="1"/>
  <c r="AI39" i="1"/>
  <c r="AH39" i="1"/>
  <c r="AF39" i="1"/>
  <c r="AE39" i="1"/>
  <c r="AC39" i="1"/>
  <c r="AD39" i="1" s="1"/>
  <c r="BF38" i="1"/>
  <c r="BE38" i="1"/>
  <c r="BD38" i="1"/>
  <c r="BC38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F38" i="1"/>
  <c r="AE38" i="1"/>
  <c r="AC38" i="1"/>
  <c r="AD38" i="1" s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J37" i="1"/>
  <c r="AK37" i="1" s="1"/>
  <c r="AI37" i="1"/>
  <c r="AH37" i="1"/>
  <c r="AF37" i="1"/>
  <c r="AE37" i="1"/>
  <c r="AC37" i="1"/>
  <c r="AD37" i="1" s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J36" i="1"/>
  <c r="AK36" i="1" s="1"/>
  <c r="AI36" i="1"/>
  <c r="AH36" i="1"/>
  <c r="AF36" i="1"/>
  <c r="AE36" i="1"/>
  <c r="AC36" i="1"/>
  <c r="AD36" i="1" s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J35" i="1"/>
  <c r="AK35" i="1" s="1"/>
  <c r="AI35" i="1"/>
  <c r="AH35" i="1"/>
  <c r="AF35" i="1"/>
  <c r="AE35" i="1"/>
  <c r="AC35" i="1"/>
  <c r="AD35" i="1" s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J34" i="1"/>
  <c r="AK34" i="1" s="1"/>
  <c r="AI34" i="1"/>
  <c r="AH34" i="1"/>
  <c r="AF34" i="1"/>
  <c r="AE34" i="1"/>
  <c r="AC34" i="1"/>
  <c r="AD34" i="1" s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J33" i="1"/>
  <c r="AK33" i="1" s="1"/>
  <c r="AI33" i="1"/>
  <c r="AH33" i="1"/>
  <c r="AF33" i="1"/>
  <c r="AE33" i="1"/>
  <c r="AC33" i="1"/>
  <c r="AD33" i="1" s="1"/>
  <c r="BF32" i="1"/>
  <c r="BE32" i="1"/>
  <c r="BD32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J32" i="1"/>
  <c r="AK32" i="1" s="1"/>
  <c r="AI32" i="1"/>
  <c r="AH32" i="1"/>
  <c r="AF32" i="1"/>
  <c r="AE32" i="1"/>
  <c r="AC32" i="1"/>
  <c r="AD32" i="1" s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J31" i="1"/>
  <c r="AK31" i="1" s="1"/>
  <c r="AI31" i="1"/>
  <c r="AH31" i="1"/>
  <c r="AF31" i="1"/>
  <c r="AE31" i="1"/>
  <c r="AC31" i="1"/>
  <c r="AD31" i="1" s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J30" i="1"/>
  <c r="AK30" i="1" s="1"/>
  <c r="AI30" i="1"/>
  <c r="AH30" i="1"/>
  <c r="AF30" i="1"/>
  <c r="AE30" i="1"/>
  <c r="AC30" i="1"/>
  <c r="AD30" i="1" s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J29" i="1"/>
  <c r="AK29" i="1" s="1"/>
  <c r="AI29" i="1"/>
  <c r="AH29" i="1"/>
  <c r="AF29" i="1"/>
  <c r="AE29" i="1"/>
  <c r="AC29" i="1"/>
  <c r="AD29" i="1" s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BG28" i="1" s="1"/>
  <c r="AP28" i="1"/>
  <c r="AO28" i="1"/>
  <c r="AN28" i="1"/>
  <c r="AM28" i="1"/>
  <c r="AL28" i="1"/>
  <c r="AJ28" i="1"/>
  <c r="AK28" i="1" s="1"/>
  <c r="AI28" i="1"/>
  <c r="AH28" i="1"/>
  <c r="AF28" i="1"/>
  <c r="AE28" i="1"/>
  <c r="AC28" i="1"/>
  <c r="AD28" i="1" s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J27" i="1"/>
  <c r="AK27" i="1" s="1"/>
  <c r="AI27" i="1"/>
  <c r="AH27" i="1"/>
  <c r="AF27" i="1"/>
  <c r="AE27" i="1"/>
  <c r="AC27" i="1"/>
  <c r="AD27" i="1" s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J26" i="1"/>
  <c r="AK26" i="1" s="1"/>
  <c r="AI26" i="1"/>
  <c r="AH26" i="1"/>
  <c r="AF26" i="1"/>
  <c r="AE26" i="1"/>
  <c r="AC26" i="1"/>
  <c r="AD26" i="1" s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J25" i="1"/>
  <c r="AK25" i="1" s="1"/>
  <c r="AI25" i="1"/>
  <c r="AH25" i="1"/>
  <c r="AF25" i="1"/>
  <c r="AE25" i="1"/>
  <c r="AC25" i="1"/>
  <c r="AD25" i="1" s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J24" i="1"/>
  <c r="AK24" i="1" s="1"/>
  <c r="AI24" i="1"/>
  <c r="AH24" i="1"/>
  <c r="AF24" i="1"/>
  <c r="AE24" i="1"/>
  <c r="AC24" i="1"/>
  <c r="AD24" i="1" s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BG23" i="1" s="1"/>
  <c r="AP23" i="1"/>
  <c r="AO23" i="1"/>
  <c r="AN23" i="1"/>
  <c r="AM23" i="1"/>
  <c r="AL23" i="1"/>
  <c r="AJ23" i="1"/>
  <c r="AK23" i="1" s="1"/>
  <c r="AI23" i="1"/>
  <c r="AH23" i="1"/>
  <c r="AF23" i="1"/>
  <c r="AE23" i="1"/>
  <c r="AC23" i="1"/>
  <c r="AD23" i="1" s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J22" i="1"/>
  <c r="AK22" i="1" s="1"/>
  <c r="AI22" i="1"/>
  <c r="AH22" i="1"/>
  <c r="AF22" i="1"/>
  <c r="AE22" i="1"/>
  <c r="AC22" i="1"/>
  <c r="AD22" i="1" s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J21" i="1"/>
  <c r="AK21" i="1" s="1"/>
  <c r="AI21" i="1"/>
  <c r="AH21" i="1"/>
  <c r="AF21" i="1"/>
  <c r="AE21" i="1"/>
  <c r="AC21" i="1"/>
  <c r="AD21" i="1" s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J20" i="1"/>
  <c r="AK20" i="1" s="1"/>
  <c r="AI20" i="1"/>
  <c r="AH20" i="1"/>
  <c r="AF20" i="1"/>
  <c r="AE20" i="1"/>
  <c r="AC20" i="1"/>
  <c r="AD20" i="1" s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J19" i="1"/>
  <c r="AK19" i="1" s="1"/>
  <c r="AI19" i="1"/>
  <c r="AH19" i="1"/>
  <c r="AF19" i="1"/>
  <c r="AE19" i="1"/>
  <c r="AC19" i="1"/>
  <c r="AD19" i="1" s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BG18" i="1" s="1"/>
  <c r="AP18" i="1"/>
  <c r="AO18" i="1"/>
  <c r="AN18" i="1"/>
  <c r="AM18" i="1"/>
  <c r="AL18" i="1"/>
  <c r="AJ18" i="1"/>
  <c r="AK18" i="1" s="1"/>
  <c r="AI18" i="1"/>
  <c r="AH18" i="1"/>
  <c r="AF18" i="1"/>
  <c r="AE18" i="1"/>
  <c r="AC18" i="1"/>
  <c r="AD18" i="1" s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J17" i="1"/>
  <c r="AK17" i="1" s="1"/>
  <c r="AI17" i="1"/>
  <c r="AH17" i="1"/>
  <c r="AF17" i="1"/>
  <c r="AE17" i="1"/>
  <c r="AC17" i="1"/>
  <c r="AD17" i="1" s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J16" i="1"/>
  <c r="AK16" i="1" s="1"/>
  <c r="AI16" i="1"/>
  <c r="AH16" i="1"/>
  <c r="AF16" i="1"/>
  <c r="AE16" i="1"/>
  <c r="AD16" i="1"/>
  <c r="AC16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J15" i="1"/>
  <c r="AK15" i="1" s="1"/>
  <c r="AI15" i="1"/>
  <c r="AH15" i="1"/>
  <c r="AF15" i="1"/>
  <c r="AE15" i="1"/>
  <c r="AC15" i="1"/>
  <c r="AD15" i="1" s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J14" i="1"/>
  <c r="AK14" i="1" s="1"/>
  <c r="AI14" i="1"/>
  <c r="AH14" i="1"/>
  <c r="AF14" i="1"/>
  <c r="AE14" i="1"/>
  <c r="AC14" i="1"/>
  <c r="AD14" i="1" s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J13" i="1"/>
  <c r="AK13" i="1" s="1"/>
  <c r="AI13" i="1"/>
  <c r="AH13" i="1"/>
  <c r="AF13" i="1"/>
  <c r="AE13" i="1"/>
  <c r="AC13" i="1"/>
  <c r="AD13" i="1" s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J12" i="1"/>
  <c r="AK12" i="1" s="1"/>
  <c r="AI12" i="1"/>
  <c r="AH12" i="1"/>
  <c r="AF12" i="1"/>
  <c r="AE12" i="1"/>
  <c r="AC12" i="1"/>
  <c r="AD12" i="1" s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J11" i="1"/>
  <c r="AK11" i="1" s="1"/>
  <c r="AI11" i="1"/>
  <c r="AH11" i="1"/>
  <c r="AF11" i="1"/>
  <c r="AE11" i="1"/>
  <c r="AC11" i="1"/>
  <c r="AD11" i="1" s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J10" i="1"/>
  <c r="AK10" i="1" s="1"/>
  <c r="AI10" i="1"/>
  <c r="AH10" i="1"/>
  <c r="AF10" i="1"/>
  <c r="AE10" i="1"/>
  <c r="AC10" i="1"/>
  <c r="AD10" i="1" s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J9" i="1"/>
  <c r="AK9" i="1" s="1"/>
  <c r="AI9" i="1"/>
  <c r="AH9" i="1"/>
  <c r="AF9" i="1"/>
  <c r="AE9" i="1"/>
  <c r="AC9" i="1"/>
  <c r="AD9" i="1" s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BG8" i="1" s="1"/>
  <c r="AP8" i="1"/>
  <c r="AO8" i="1"/>
  <c r="AN8" i="1"/>
  <c r="AM8" i="1"/>
  <c r="AL8" i="1"/>
  <c r="AJ8" i="1"/>
  <c r="AK8" i="1" s="1"/>
  <c r="AI8" i="1"/>
  <c r="AH8" i="1"/>
  <c r="AF8" i="1"/>
  <c r="AE8" i="1"/>
  <c r="AC8" i="1"/>
  <c r="AD8" i="1" s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J7" i="1"/>
  <c r="AK7" i="1" s="1"/>
  <c r="AI7" i="1"/>
  <c r="AH7" i="1"/>
  <c r="AF7" i="1"/>
  <c r="AE7" i="1"/>
  <c r="AC7" i="1"/>
  <c r="AD7" i="1" s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J6" i="1"/>
  <c r="AK6" i="1" s="1"/>
  <c r="AI6" i="1"/>
  <c r="AH6" i="1"/>
  <c r="AF6" i="1"/>
  <c r="AE6" i="1"/>
  <c r="AC6" i="1"/>
  <c r="AD6" i="1" s="1"/>
  <c r="BF5" i="1"/>
  <c r="BE5" i="1"/>
  <c r="BD5" i="1"/>
  <c r="BC5" i="1"/>
  <c r="BB5" i="1"/>
  <c r="BA5" i="1"/>
  <c r="AZ5" i="1"/>
  <c r="AY5" i="1"/>
  <c r="AX5" i="1"/>
  <c r="AW5" i="1"/>
  <c r="AV5" i="1"/>
  <c r="AU5" i="1"/>
  <c r="AT5" i="1"/>
  <c r="AS5" i="1"/>
  <c r="AR5" i="1"/>
  <c r="AQ5" i="1"/>
  <c r="AP5" i="1"/>
  <c r="AO5" i="1"/>
  <c r="AN5" i="1"/>
  <c r="AM5" i="1"/>
  <c r="AL5" i="1"/>
  <c r="AJ5" i="1"/>
  <c r="AK5" i="1" s="1"/>
  <c r="AI5" i="1"/>
  <c r="AH5" i="1"/>
  <c r="AF5" i="1"/>
  <c r="AE5" i="1"/>
  <c r="AC5" i="1"/>
  <c r="AD5" i="1" s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J4" i="1"/>
  <c r="AK4" i="1" s="1"/>
  <c r="AI4" i="1"/>
  <c r="AH4" i="1"/>
  <c r="AF4" i="1"/>
  <c r="AE4" i="1"/>
  <c r="AC4" i="1"/>
  <c r="AD4" i="1" s="1"/>
  <c r="BF3" i="1"/>
  <c r="BE3" i="1"/>
  <c r="BD3" i="1"/>
  <c r="BC3" i="1"/>
  <c r="BB3" i="1"/>
  <c r="BA3" i="1"/>
  <c r="AZ3" i="1"/>
  <c r="AY3" i="1"/>
  <c r="AX3" i="1"/>
  <c r="AW3" i="1"/>
  <c r="AV3" i="1"/>
  <c r="AU3" i="1"/>
  <c r="AT3" i="1"/>
  <c r="AS3" i="1"/>
  <c r="AR3" i="1"/>
  <c r="AQ3" i="1"/>
  <c r="AP3" i="1"/>
  <c r="AO3" i="1"/>
  <c r="AN3" i="1"/>
  <c r="AM3" i="1"/>
  <c r="AL3" i="1"/>
  <c r="AJ3" i="1"/>
  <c r="AK3" i="1" s="1"/>
  <c r="AI3" i="1"/>
  <c r="AH3" i="1"/>
  <c r="AF3" i="1"/>
  <c r="AE3" i="1"/>
  <c r="AC3" i="1"/>
  <c r="AD3" i="1" s="1"/>
  <c r="A47" i="9"/>
  <c r="A32" i="9"/>
  <c r="A17" i="9"/>
  <c r="A2" i="9"/>
  <c r="AC2" i="1"/>
  <c r="AD2" i="1" s="1"/>
  <c r="BG46" i="1" l="1"/>
  <c r="BG29" i="1"/>
  <c r="BG11" i="1"/>
  <c r="BG39" i="1"/>
  <c r="BG78" i="1"/>
  <c r="BG21" i="1"/>
  <c r="BG25" i="1"/>
  <c r="BG4" i="1"/>
  <c r="BG14" i="1"/>
  <c r="BG84" i="1"/>
  <c r="BG7" i="1"/>
  <c r="BG17" i="1"/>
  <c r="BG24" i="1"/>
  <c r="BG31" i="1"/>
  <c r="BG45" i="1"/>
  <c r="BG10" i="1"/>
  <c r="BG38" i="1"/>
  <c r="S2" i="7" a="1"/>
  <c r="S2" i="7" s="1"/>
  <c r="U1" i="7" s="1" a="1"/>
  <c r="U1" i="7" s="1"/>
  <c r="BG61" i="1"/>
  <c r="BG13" i="1"/>
  <c r="BG20" i="1"/>
  <c r="BG27" i="1"/>
  <c r="BG34" i="1"/>
  <c r="BG41" i="1"/>
  <c r="BG48" i="1"/>
  <c r="BG80" i="1"/>
  <c r="BG3" i="1"/>
  <c r="BG6" i="1"/>
  <c r="BG16" i="1"/>
  <c r="BG30" i="1"/>
  <c r="BG37" i="1"/>
  <c r="BG32" i="1"/>
  <c r="BG9" i="1"/>
  <c r="BG57" i="1"/>
  <c r="BG73" i="1"/>
  <c r="BG19" i="1"/>
  <c r="BG26" i="1"/>
  <c r="BG33" i="1"/>
  <c r="BG40" i="1"/>
  <c r="BG47" i="1"/>
  <c r="BG12" i="1"/>
  <c r="BG5" i="1"/>
  <c r="BG15" i="1"/>
  <c r="BG22" i="1"/>
  <c r="BG50" i="1"/>
  <c r="BG66" i="1"/>
  <c r="BG82" i="1"/>
  <c r="BG36" i="1"/>
  <c r="BG59" i="1"/>
  <c r="BG75" i="1"/>
  <c r="BG49" i="1"/>
  <c r="BG62" i="1"/>
  <c r="BG52" i="1"/>
  <c r="BG68" i="1"/>
  <c r="BG35" i="1"/>
  <c r="BG44" i="1"/>
  <c r="BG55" i="1"/>
  <c r="BG71" i="1"/>
  <c r="BG64" i="1"/>
  <c r="BG43" i="1"/>
  <c r="BG51" i="1"/>
  <c r="BG67" i="1"/>
  <c r="BG54" i="1"/>
  <c r="BG70" i="1"/>
  <c r="BG60" i="1"/>
  <c r="BG76" i="1"/>
  <c r="BG63" i="1"/>
  <c r="BG79" i="1"/>
  <c r="AL2" i="1" l="1"/>
  <c r="K15" i="7" l="1"/>
  <c r="D169" i="7" s="1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K12" i="7" s="1"/>
  <c r="D166" i="7" s="1"/>
  <c r="F11" i="7"/>
  <c r="K11" i="7" s="1"/>
  <c r="D165" i="7" s="1"/>
  <c r="B42" i="9" s="1"/>
  <c r="F10" i="7"/>
  <c r="F9" i="7"/>
  <c r="F8" i="7"/>
  <c r="F7" i="7"/>
  <c r="F6" i="7"/>
  <c r="K6" i="7" s="1"/>
  <c r="D160" i="7" s="1"/>
  <c r="B39" i="9" s="1"/>
  <c r="F5" i="7"/>
  <c r="K5" i="7" s="1"/>
  <c r="D159" i="7" s="1"/>
  <c r="B38" i="9" s="1"/>
  <c r="F4" i="7"/>
  <c r="F3" i="7"/>
  <c r="AR2" i="1"/>
  <c r="K16" i="7" l="1"/>
  <c r="D170" i="7" s="1"/>
  <c r="K17" i="7"/>
  <c r="D171" i="7" s="1"/>
  <c r="K19" i="7"/>
  <c r="H158" i="7" s="1"/>
  <c r="K20" i="7"/>
  <c r="H159" i="7" s="1"/>
  <c r="F38" i="9" s="1"/>
  <c r="K21" i="7"/>
  <c r="H160" i="7" s="1"/>
  <c r="F39" i="9" s="1"/>
  <c r="J39" i="9" s="1"/>
  <c r="K3" i="7"/>
  <c r="K4" i="7"/>
  <c r="D158" i="7" s="1"/>
  <c r="K7" i="7"/>
  <c r="D161" i="7" s="1"/>
  <c r="K8" i="7"/>
  <c r="D162" i="7" s="1"/>
  <c r="K9" i="7"/>
  <c r="D163" i="7" s="1"/>
  <c r="K92" i="7"/>
  <c r="J171" i="7" s="1"/>
  <c r="K10" i="7"/>
  <c r="D164" i="7" s="1"/>
  <c r="H21" i="7"/>
  <c r="H114" i="7" s="1"/>
  <c r="F9" i="9" s="1"/>
  <c r="H45" i="7"/>
  <c r="E123" i="7" s="1"/>
  <c r="H77" i="7"/>
  <c r="F125" i="7" s="1"/>
  <c r="H85" i="7"/>
  <c r="J118" i="7" s="1"/>
  <c r="H89" i="7"/>
  <c r="J122" i="7" s="1"/>
  <c r="I5" i="7"/>
  <c r="D136" i="7" s="1"/>
  <c r="I9" i="7"/>
  <c r="D140" i="7" s="1"/>
  <c r="I13" i="7"/>
  <c r="D144" i="7" s="1"/>
  <c r="I17" i="7"/>
  <c r="D148" i="7" s="1"/>
  <c r="I21" i="7"/>
  <c r="H137" i="7" s="1"/>
  <c r="I25" i="7"/>
  <c r="H141" i="7" s="1"/>
  <c r="I29" i="7"/>
  <c r="H145" i="7" s="1"/>
  <c r="I33" i="7"/>
  <c r="E134" i="7" s="1"/>
  <c r="I37" i="7"/>
  <c r="E138" i="7" s="1"/>
  <c r="I41" i="7"/>
  <c r="E142" i="7" s="1"/>
  <c r="C27" i="9" s="1"/>
  <c r="I45" i="7"/>
  <c r="E146" i="7" s="1"/>
  <c r="I49" i="7"/>
  <c r="I135" i="7" s="1"/>
  <c r="I53" i="7"/>
  <c r="I139" i="7" s="1"/>
  <c r="I57" i="7"/>
  <c r="I143" i="7" s="1"/>
  <c r="I61" i="7"/>
  <c r="I147" i="7" s="1"/>
  <c r="I65" i="7"/>
  <c r="F136" i="7" s="1"/>
  <c r="D23" i="9" s="1"/>
  <c r="I69" i="7"/>
  <c r="F140" i="7" s="1"/>
  <c r="I73" i="7"/>
  <c r="F144" i="7" s="1"/>
  <c r="I77" i="7"/>
  <c r="F148" i="7" s="1"/>
  <c r="I81" i="7"/>
  <c r="J137" i="7" s="1"/>
  <c r="H24" i="9" s="1"/>
  <c r="I85" i="7"/>
  <c r="J141" i="7" s="1"/>
  <c r="I89" i="7"/>
  <c r="J145" i="7" s="1"/>
  <c r="H25" i="7"/>
  <c r="H118" i="7" s="1"/>
  <c r="H57" i="7"/>
  <c r="I120" i="7" s="1"/>
  <c r="H81" i="7"/>
  <c r="J114" i="7" s="1"/>
  <c r="H9" i="9" s="1"/>
  <c r="J5" i="7"/>
  <c r="D181" i="7" s="1"/>
  <c r="B53" i="9" s="1"/>
  <c r="J9" i="7"/>
  <c r="D185" i="7" s="1"/>
  <c r="J13" i="7"/>
  <c r="D189" i="7" s="1"/>
  <c r="J17" i="7"/>
  <c r="D193" i="7" s="1"/>
  <c r="J21" i="7"/>
  <c r="H182" i="7" s="1"/>
  <c r="F54" i="9" s="1"/>
  <c r="J25" i="7"/>
  <c r="H186" i="7" s="1"/>
  <c r="J29" i="7"/>
  <c r="H190" i="7" s="1"/>
  <c r="J33" i="7"/>
  <c r="E179" i="7" s="1"/>
  <c r="J37" i="7"/>
  <c r="E183" i="7" s="1"/>
  <c r="J41" i="7"/>
  <c r="E187" i="7" s="1"/>
  <c r="C57" i="9" s="1"/>
  <c r="J45" i="7"/>
  <c r="E191" i="7" s="1"/>
  <c r="J49" i="7"/>
  <c r="I180" i="7" s="1"/>
  <c r="J53" i="7"/>
  <c r="I184" i="7" s="1"/>
  <c r="J57" i="7"/>
  <c r="I188" i="7" s="1"/>
  <c r="J61" i="7"/>
  <c r="I192" i="7" s="1"/>
  <c r="J65" i="7"/>
  <c r="F181" i="7" s="1"/>
  <c r="D53" i="9" s="1"/>
  <c r="J69" i="7"/>
  <c r="F185" i="7" s="1"/>
  <c r="J73" i="7"/>
  <c r="F189" i="7" s="1"/>
  <c r="J77" i="7"/>
  <c r="F193" i="7" s="1"/>
  <c r="J81" i="7"/>
  <c r="J182" i="7" s="1"/>
  <c r="H54" i="9" s="1"/>
  <c r="J85" i="7"/>
  <c r="J186" i="7" s="1"/>
  <c r="J89" i="7"/>
  <c r="J190" i="7" s="1"/>
  <c r="H49" i="7"/>
  <c r="I112" i="7" s="1"/>
  <c r="K13" i="7"/>
  <c r="D167" i="7" s="1"/>
  <c r="K25" i="7"/>
  <c r="H164" i="7" s="1"/>
  <c r="K29" i="7"/>
  <c r="H168" i="7" s="1"/>
  <c r="K33" i="7"/>
  <c r="E157" i="7" s="1"/>
  <c r="K37" i="7"/>
  <c r="E161" i="7" s="1"/>
  <c r="K41" i="7"/>
  <c r="E165" i="7" s="1"/>
  <c r="C42" i="9" s="1"/>
  <c r="K45" i="7"/>
  <c r="E169" i="7" s="1"/>
  <c r="K49" i="7"/>
  <c r="I158" i="7" s="1"/>
  <c r="K53" i="7"/>
  <c r="I162" i="7" s="1"/>
  <c r="K57" i="7"/>
  <c r="I166" i="7" s="1"/>
  <c r="K61" i="7"/>
  <c r="I170" i="7" s="1"/>
  <c r="K65" i="7"/>
  <c r="F159" i="7" s="1"/>
  <c r="D38" i="9" s="1"/>
  <c r="K69" i="7"/>
  <c r="F163" i="7" s="1"/>
  <c r="K73" i="7"/>
  <c r="F167" i="7" s="1"/>
  <c r="K77" i="7"/>
  <c r="F171" i="7" s="1"/>
  <c r="K81" i="7"/>
  <c r="J160" i="7" s="1"/>
  <c r="H39" i="9" s="1"/>
  <c r="K85" i="7"/>
  <c r="J164" i="7" s="1"/>
  <c r="K89" i="7"/>
  <c r="J168" i="7" s="1"/>
  <c r="H41" i="7"/>
  <c r="E119" i="7" s="1"/>
  <c r="C12" i="9" s="1"/>
  <c r="H6" i="7"/>
  <c r="D114" i="7" s="1"/>
  <c r="B9" i="9" s="1"/>
  <c r="H10" i="7"/>
  <c r="D118" i="7" s="1"/>
  <c r="H14" i="7"/>
  <c r="D122" i="7" s="1"/>
  <c r="H18" i="7"/>
  <c r="H111" i="7" s="1"/>
  <c r="H22" i="7"/>
  <c r="H115" i="7" s="1"/>
  <c r="H26" i="7"/>
  <c r="H119" i="7" s="1"/>
  <c r="F12" i="9" s="1"/>
  <c r="H30" i="7"/>
  <c r="H123" i="7" s="1"/>
  <c r="H34" i="7"/>
  <c r="E112" i="7" s="1"/>
  <c r="H38" i="7"/>
  <c r="E116" i="7" s="1"/>
  <c r="H42" i="7"/>
  <c r="E120" i="7" s="1"/>
  <c r="H46" i="7"/>
  <c r="E124" i="7" s="1"/>
  <c r="H50" i="7"/>
  <c r="I113" i="7" s="1"/>
  <c r="G8" i="9" s="1"/>
  <c r="H54" i="7"/>
  <c r="I117" i="7" s="1"/>
  <c r="H58" i="7"/>
  <c r="I121" i="7" s="1"/>
  <c r="H62" i="7"/>
  <c r="I125" i="7" s="1"/>
  <c r="H66" i="7"/>
  <c r="F114" i="7" s="1"/>
  <c r="D9" i="9" s="1"/>
  <c r="H70" i="7"/>
  <c r="F118" i="7" s="1"/>
  <c r="H74" i="7"/>
  <c r="F122" i="7" s="1"/>
  <c r="H78" i="7"/>
  <c r="J111" i="7" s="1"/>
  <c r="H82" i="7"/>
  <c r="J115" i="7" s="1"/>
  <c r="H86" i="7"/>
  <c r="J119" i="7" s="1"/>
  <c r="H12" i="9" s="1"/>
  <c r="H90" i="7"/>
  <c r="J123" i="7" s="1"/>
  <c r="H5" i="7"/>
  <c r="D113" i="7" s="1"/>
  <c r="B8" i="9" s="1"/>
  <c r="H37" i="7"/>
  <c r="E115" i="7" s="1"/>
  <c r="I6" i="7"/>
  <c r="D137" i="7" s="1"/>
  <c r="I10" i="7"/>
  <c r="D141" i="7" s="1"/>
  <c r="I14" i="7"/>
  <c r="D145" i="7" s="1"/>
  <c r="I18" i="7"/>
  <c r="H134" i="7" s="1"/>
  <c r="I22" i="7"/>
  <c r="H138" i="7" s="1"/>
  <c r="I26" i="7"/>
  <c r="H142" i="7" s="1"/>
  <c r="I30" i="7"/>
  <c r="H146" i="7" s="1"/>
  <c r="I34" i="7"/>
  <c r="E135" i="7" s="1"/>
  <c r="I38" i="7"/>
  <c r="E139" i="7" s="1"/>
  <c r="I42" i="7"/>
  <c r="E143" i="7" s="1"/>
  <c r="I46" i="7"/>
  <c r="E147" i="7" s="1"/>
  <c r="I50" i="7"/>
  <c r="I136" i="7" s="1"/>
  <c r="G23" i="9" s="1"/>
  <c r="I54" i="7"/>
  <c r="I140" i="7" s="1"/>
  <c r="I58" i="7"/>
  <c r="I144" i="7" s="1"/>
  <c r="I62" i="7"/>
  <c r="I148" i="7" s="1"/>
  <c r="I66" i="7"/>
  <c r="F137" i="7" s="1"/>
  <c r="D24" i="9" s="1"/>
  <c r="I70" i="7"/>
  <c r="F141" i="7" s="1"/>
  <c r="I74" i="7"/>
  <c r="F145" i="7" s="1"/>
  <c r="I78" i="7"/>
  <c r="J134" i="7" s="1"/>
  <c r="I82" i="7"/>
  <c r="J138" i="7" s="1"/>
  <c r="I86" i="7"/>
  <c r="J142" i="7" s="1"/>
  <c r="H27" i="9" s="1"/>
  <c r="I90" i="7"/>
  <c r="J146" i="7" s="1"/>
  <c r="H29" i="7"/>
  <c r="H122" i="7" s="1"/>
  <c r="J6" i="7"/>
  <c r="D182" i="7" s="1"/>
  <c r="B54" i="9" s="1"/>
  <c r="J10" i="7"/>
  <c r="D186" i="7" s="1"/>
  <c r="J14" i="7"/>
  <c r="D190" i="7" s="1"/>
  <c r="J18" i="7"/>
  <c r="H179" i="7" s="1"/>
  <c r="J22" i="7"/>
  <c r="H183" i="7" s="1"/>
  <c r="J26" i="7"/>
  <c r="H187" i="7" s="1"/>
  <c r="F57" i="9" s="1"/>
  <c r="J30" i="7"/>
  <c r="H191" i="7" s="1"/>
  <c r="J34" i="7"/>
  <c r="E180" i="7" s="1"/>
  <c r="J38" i="7"/>
  <c r="E184" i="7" s="1"/>
  <c r="J42" i="7"/>
  <c r="E188" i="7" s="1"/>
  <c r="J46" i="7"/>
  <c r="E192" i="7" s="1"/>
  <c r="J50" i="7"/>
  <c r="I181" i="7" s="1"/>
  <c r="G53" i="9" s="1"/>
  <c r="J54" i="7"/>
  <c r="I185" i="7" s="1"/>
  <c r="J58" i="7"/>
  <c r="I189" i="7" s="1"/>
  <c r="J62" i="7"/>
  <c r="I193" i="7" s="1"/>
  <c r="J66" i="7"/>
  <c r="F182" i="7" s="1"/>
  <c r="D54" i="9" s="1"/>
  <c r="J70" i="7"/>
  <c r="F186" i="7" s="1"/>
  <c r="J74" i="7"/>
  <c r="F190" i="7" s="1"/>
  <c r="J78" i="7"/>
  <c r="J179" i="7" s="1"/>
  <c r="J82" i="7"/>
  <c r="J183" i="7" s="1"/>
  <c r="J86" i="7"/>
  <c r="J187" i="7" s="1"/>
  <c r="H57" i="9" s="1"/>
  <c r="J90" i="7"/>
  <c r="J191" i="7" s="1"/>
  <c r="K14" i="7"/>
  <c r="D168" i="7" s="1"/>
  <c r="K18" i="7"/>
  <c r="H157" i="7" s="1"/>
  <c r="K22" i="7"/>
  <c r="H161" i="7" s="1"/>
  <c r="K26" i="7"/>
  <c r="H165" i="7" s="1"/>
  <c r="F42" i="9" s="1"/>
  <c r="K30" i="7"/>
  <c r="H169" i="7" s="1"/>
  <c r="L169" i="7" s="1"/>
  <c r="K34" i="7"/>
  <c r="E158" i="7" s="1"/>
  <c r="K38" i="7"/>
  <c r="E162" i="7" s="1"/>
  <c r="K42" i="7"/>
  <c r="E166" i="7" s="1"/>
  <c r="K46" i="7"/>
  <c r="E170" i="7" s="1"/>
  <c r="K50" i="7"/>
  <c r="I159" i="7" s="1"/>
  <c r="G38" i="9" s="1"/>
  <c r="K54" i="7"/>
  <c r="I163" i="7" s="1"/>
  <c r="K58" i="7"/>
  <c r="I167" i="7" s="1"/>
  <c r="K62" i="7"/>
  <c r="I171" i="7" s="1"/>
  <c r="K66" i="7"/>
  <c r="F160" i="7" s="1"/>
  <c r="D39" i="9" s="1"/>
  <c r="K70" i="7"/>
  <c r="F164" i="7" s="1"/>
  <c r="K74" i="7"/>
  <c r="F168" i="7" s="1"/>
  <c r="K78" i="7"/>
  <c r="J157" i="7" s="1"/>
  <c r="K82" i="7"/>
  <c r="J161" i="7" s="1"/>
  <c r="K86" i="7"/>
  <c r="J165" i="7" s="1"/>
  <c r="H42" i="9" s="1"/>
  <c r="K90" i="7"/>
  <c r="J169" i="7" s="1"/>
  <c r="H9" i="7"/>
  <c r="D117" i="7" s="1"/>
  <c r="H73" i="7"/>
  <c r="F121" i="7" s="1"/>
  <c r="H3" i="7"/>
  <c r="H7" i="7"/>
  <c r="D115" i="7" s="1"/>
  <c r="H11" i="7"/>
  <c r="D119" i="7" s="1"/>
  <c r="B12" i="9" s="1"/>
  <c r="H15" i="7"/>
  <c r="D123" i="7" s="1"/>
  <c r="H19" i="7"/>
  <c r="H112" i="7" s="1"/>
  <c r="H23" i="7"/>
  <c r="H116" i="7" s="1"/>
  <c r="H27" i="7"/>
  <c r="H120" i="7" s="1"/>
  <c r="H31" i="7"/>
  <c r="H124" i="7" s="1"/>
  <c r="H35" i="7"/>
  <c r="E113" i="7" s="1"/>
  <c r="H39" i="7"/>
  <c r="E117" i="7" s="1"/>
  <c r="H43" i="7"/>
  <c r="E121" i="7" s="1"/>
  <c r="H47" i="7"/>
  <c r="E125" i="7" s="1"/>
  <c r="H51" i="7"/>
  <c r="I114" i="7" s="1"/>
  <c r="G9" i="9" s="1"/>
  <c r="H55" i="7"/>
  <c r="I118" i="7" s="1"/>
  <c r="H59" i="7"/>
  <c r="I122" i="7" s="1"/>
  <c r="H63" i="7"/>
  <c r="F111" i="7" s="1"/>
  <c r="N111" i="7" s="1"/>
  <c r="H67" i="7"/>
  <c r="F115" i="7" s="1"/>
  <c r="H71" i="7"/>
  <c r="F119" i="7" s="1"/>
  <c r="D12" i="9" s="1"/>
  <c r="H75" i="7"/>
  <c r="F123" i="7" s="1"/>
  <c r="H79" i="7"/>
  <c r="J112" i="7" s="1"/>
  <c r="H83" i="7"/>
  <c r="J116" i="7" s="1"/>
  <c r="H87" i="7"/>
  <c r="J120" i="7" s="1"/>
  <c r="H91" i="7"/>
  <c r="J124" i="7" s="1"/>
  <c r="I3" i="7"/>
  <c r="D134" i="7" s="1"/>
  <c r="I7" i="7"/>
  <c r="D138" i="7" s="1"/>
  <c r="I11" i="7"/>
  <c r="D142" i="7" s="1"/>
  <c r="I15" i="7"/>
  <c r="D146" i="7" s="1"/>
  <c r="I19" i="7"/>
  <c r="H135" i="7" s="1"/>
  <c r="I23" i="7"/>
  <c r="H139" i="7" s="1"/>
  <c r="I27" i="7"/>
  <c r="H143" i="7" s="1"/>
  <c r="I31" i="7"/>
  <c r="H147" i="7" s="1"/>
  <c r="I35" i="7"/>
  <c r="E136" i="7" s="1"/>
  <c r="C23" i="9" s="1"/>
  <c r="I39" i="7"/>
  <c r="E140" i="7" s="1"/>
  <c r="I43" i="7"/>
  <c r="E144" i="7" s="1"/>
  <c r="I47" i="7"/>
  <c r="E148" i="7" s="1"/>
  <c r="I51" i="7"/>
  <c r="I137" i="7" s="1"/>
  <c r="G24" i="9" s="1"/>
  <c r="I55" i="7"/>
  <c r="I141" i="7" s="1"/>
  <c r="I59" i="7"/>
  <c r="I145" i="7" s="1"/>
  <c r="I63" i="7"/>
  <c r="F134" i="7" s="1"/>
  <c r="I67" i="7"/>
  <c r="F138" i="7" s="1"/>
  <c r="I71" i="7"/>
  <c r="F142" i="7" s="1"/>
  <c r="D27" i="9" s="1"/>
  <c r="I75" i="7"/>
  <c r="F146" i="7" s="1"/>
  <c r="I79" i="7"/>
  <c r="J135" i="7" s="1"/>
  <c r="I83" i="7"/>
  <c r="J139" i="7" s="1"/>
  <c r="I87" i="7"/>
  <c r="J143" i="7" s="1"/>
  <c r="I91" i="7"/>
  <c r="J147" i="7" s="1"/>
  <c r="H13" i="7"/>
  <c r="D121" i="7" s="1"/>
  <c r="H53" i="7"/>
  <c r="I116" i="7" s="1"/>
  <c r="J3" i="7"/>
  <c r="D179" i="7" s="1"/>
  <c r="J7" i="7"/>
  <c r="D183" i="7" s="1"/>
  <c r="J11" i="7"/>
  <c r="D187" i="7" s="1"/>
  <c r="J15" i="7"/>
  <c r="D191" i="7" s="1"/>
  <c r="J19" i="7"/>
  <c r="H180" i="7" s="1"/>
  <c r="J23" i="7"/>
  <c r="H184" i="7" s="1"/>
  <c r="J27" i="7"/>
  <c r="H188" i="7" s="1"/>
  <c r="J31" i="7"/>
  <c r="H192" i="7" s="1"/>
  <c r="J35" i="7"/>
  <c r="E181" i="7" s="1"/>
  <c r="C53" i="9" s="1"/>
  <c r="J39" i="7"/>
  <c r="E185" i="7" s="1"/>
  <c r="J43" i="7"/>
  <c r="E189" i="7" s="1"/>
  <c r="J47" i="7"/>
  <c r="E193" i="7" s="1"/>
  <c r="J51" i="7"/>
  <c r="I182" i="7" s="1"/>
  <c r="G54" i="9" s="1"/>
  <c r="J55" i="7"/>
  <c r="I186" i="7" s="1"/>
  <c r="J59" i="7"/>
  <c r="I190" i="7" s="1"/>
  <c r="J63" i="7"/>
  <c r="F179" i="7" s="1"/>
  <c r="J67" i="7"/>
  <c r="F183" i="7" s="1"/>
  <c r="J71" i="7"/>
  <c r="F187" i="7" s="1"/>
  <c r="J75" i="7"/>
  <c r="F191" i="7" s="1"/>
  <c r="J79" i="7"/>
  <c r="J180" i="7" s="1"/>
  <c r="J83" i="7"/>
  <c r="J184" i="7" s="1"/>
  <c r="J87" i="7"/>
  <c r="J188" i="7" s="1"/>
  <c r="J91" i="7"/>
  <c r="J192" i="7" s="1"/>
  <c r="H33" i="7"/>
  <c r="E111" i="7" s="1"/>
  <c r="K23" i="7"/>
  <c r="H162" i="7" s="1"/>
  <c r="K27" i="7"/>
  <c r="H166" i="7" s="1"/>
  <c r="L166" i="7" s="1"/>
  <c r="K31" i="7"/>
  <c r="H170" i="7" s="1"/>
  <c r="L170" i="7" s="1"/>
  <c r="K35" i="7"/>
  <c r="E159" i="7" s="1"/>
  <c r="C38" i="9" s="1"/>
  <c r="K39" i="7"/>
  <c r="E163" i="7" s="1"/>
  <c r="K43" i="7"/>
  <c r="E167" i="7" s="1"/>
  <c r="K47" i="7"/>
  <c r="E171" i="7" s="1"/>
  <c r="K51" i="7"/>
  <c r="I160" i="7" s="1"/>
  <c r="G39" i="9" s="1"/>
  <c r="K55" i="7"/>
  <c r="I164" i="7" s="1"/>
  <c r="K59" i="7"/>
  <c r="I168" i="7" s="1"/>
  <c r="K63" i="7"/>
  <c r="F157" i="7" s="1"/>
  <c r="K67" i="7"/>
  <c r="F161" i="7" s="1"/>
  <c r="K71" i="7"/>
  <c r="F165" i="7" s="1"/>
  <c r="D42" i="9" s="1"/>
  <c r="K75" i="7"/>
  <c r="F169" i="7" s="1"/>
  <c r="K79" i="7"/>
  <c r="J158" i="7" s="1"/>
  <c r="K83" i="7"/>
  <c r="J162" i="7" s="1"/>
  <c r="K87" i="7"/>
  <c r="J166" i="7" s="1"/>
  <c r="K91" i="7"/>
  <c r="J170" i="7" s="1"/>
  <c r="H65" i="7"/>
  <c r="F113" i="7" s="1"/>
  <c r="D8" i="9" s="1"/>
  <c r="H4" i="7"/>
  <c r="D112" i="7" s="1"/>
  <c r="H8" i="7"/>
  <c r="D116" i="7" s="1"/>
  <c r="H12" i="7"/>
  <c r="D120" i="7" s="1"/>
  <c r="H16" i="7"/>
  <c r="D124" i="7" s="1"/>
  <c r="H20" i="7"/>
  <c r="H113" i="7" s="1"/>
  <c r="F8" i="9" s="1"/>
  <c r="H24" i="7"/>
  <c r="H117" i="7" s="1"/>
  <c r="H28" i="7"/>
  <c r="H121" i="7" s="1"/>
  <c r="H32" i="7"/>
  <c r="H125" i="7" s="1"/>
  <c r="H36" i="7"/>
  <c r="E114" i="7" s="1"/>
  <c r="C9" i="9" s="1"/>
  <c r="H40" i="7"/>
  <c r="E118" i="7" s="1"/>
  <c r="H44" i="7"/>
  <c r="E122" i="7" s="1"/>
  <c r="H48" i="7"/>
  <c r="I111" i="7" s="1"/>
  <c r="H52" i="7"/>
  <c r="I115" i="7" s="1"/>
  <c r="H56" i="7"/>
  <c r="I119" i="7" s="1"/>
  <c r="G12" i="9" s="1"/>
  <c r="H60" i="7"/>
  <c r="I123" i="7" s="1"/>
  <c r="H64" i="7"/>
  <c r="F112" i="7" s="1"/>
  <c r="H68" i="7"/>
  <c r="F116" i="7" s="1"/>
  <c r="H72" i="7"/>
  <c r="F120" i="7" s="1"/>
  <c r="H76" i="7"/>
  <c r="F124" i="7" s="1"/>
  <c r="H80" i="7"/>
  <c r="J113" i="7" s="1"/>
  <c r="H8" i="9" s="1"/>
  <c r="H84" i="7"/>
  <c r="J117" i="7" s="1"/>
  <c r="H88" i="7"/>
  <c r="J121" i="7" s="1"/>
  <c r="H92" i="7"/>
  <c r="J125" i="7" s="1"/>
  <c r="H69" i="7"/>
  <c r="F117" i="7" s="1"/>
  <c r="I4" i="7"/>
  <c r="D135" i="7" s="1"/>
  <c r="I8" i="7"/>
  <c r="D139" i="7" s="1"/>
  <c r="I12" i="7"/>
  <c r="D143" i="7" s="1"/>
  <c r="I16" i="7"/>
  <c r="D147" i="7" s="1"/>
  <c r="I20" i="7"/>
  <c r="H136" i="7" s="1"/>
  <c r="I24" i="7"/>
  <c r="H140" i="7" s="1"/>
  <c r="I28" i="7"/>
  <c r="H144" i="7" s="1"/>
  <c r="I32" i="7"/>
  <c r="H148" i="7" s="1"/>
  <c r="I36" i="7"/>
  <c r="E137" i="7" s="1"/>
  <c r="C24" i="9" s="1"/>
  <c r="I40" i="7"/>
  <c r="E141" i="7" s="1"/>
  <c r="I44" i="7"/>
  <c r="E145" i="7" s="1"/>
  <c r="I48" i="7"/>
  <c r="I134" i="7" s="1"/>
  <c r="I52" i="7"/>
  <c r="I138" i="7" s="1"/>
  <c r="I56" i="7"/>
  <c r="I142" i="7" s="1"/>
  <c r="G27" i="9" s="1"/>
  <c r="I60" i="7"/>
  <c r="I146" i="7" s="1"/>
  <c r="I64" i="7"/>
  <c r="F135" i="7" s="1"/>
  <c r="I68" i="7"/>
  <c r="F139" i="7" s="1"/>
  <c r="I72" i="7"/>
  <c r="F143" i="7" s="1"/>
  <c r="I76" i="7"/>
  <c r="F147" i="7" s="1"/>
  <c r="I80" i="7"/>
  <c r="J136" i="7" s="1"/>
  <c r="H23" i="9" s="1"/>
  <c r="I84" i="7"/>
  <c r="J140" i="7" s="1"/>
  <c r="I88" i="7"/>
  <c r="J144" i="7" s="1"/>
  <c r="I92" i="7"/>
  <c r="J148" i="7" s="1"/>
  <c r="N148" i="7" s="1"/>
  <c r="H17" i="7"/>
  <c r="D125" i="7" s="1"/>
  <c r="H61" i="7"/>
  <c r="I124" i="7" s="1"/>
  <c r="J4" i="7"/>
  <c r="D180" i="7" s="1"/>
  <c r="J8" i="7"/>
  <c r="D184" i="7" s="1"/>
  <c r="J12" i="7"/>
  <c r="D188" i="7" s="1"/>
  <c r="J16" i="7"/>
  <c r="D192" i="7" s="1"/>
  <c r="J20" i="7"/>
  <c r="H181" i="7" s="1"/>
  <c r="F53" i="9" s="1"/>
  <c r="J24" i="7"/>
  <c r="H185" i="7" s="1"/>
  <c r="J28" i="7"/>
  <c r="H189" i="7" s="1"/>
  <c r="J32" i="7"/>
  <c r="H193" i="7" s="1"/>
  <c r="J36" i="7"/>
  <c r="E182" i="7" s="1"/>
  <c r="C54" i="9" s="1"/>
  <c r="J40" i="7"/>
  <c r="E186" i="7" s="1"/>
  <c r="J44" i="7"/>
  <c r="E190" i="7" s="1"/>
  <c r="J48" i="7"/>
  <c r="I179" i="7" s="1"/>
  <c r="J52" i="7"/>
  <c r="I183" i="7" s="1"/>
  <c r="J56" i="7"/>
  <c r="I187" i="7" s="1"/>
  <c r="G57" i="9" s="1"/>
  <c r="J60" i="7"/>
  <c r="I191" i="7" s="1"/>
  <c r="J64" i="7"/>
  <c r="F180" i="7" s="1"/>
  <c r="J68" i="7"/>
  <c r="F184" i="7" s="1"/>
  <c r="J72" i="7"/>
  <c r="F188" i="7" s="1"/>
  <c r="J76" i="7"/>
  <c r="F192" i="7" s="1"/>
  <c r="J80" i="7"/>
  <c r="J181" i="7" s="1"/>
  <c r="H53" i="9" s="1"/>
  <c r="J84" i="7"/>
  <c r="J185" i="7" s="1"/>
  <c r="J88" i="7"/>
  <c r="J189" i="7" s="1"/>
  <c r="J92" i="7"/>
  <c r="J193" i="7" s="1"/>
  <c r="K24" i="7"/>
  <c r="H163" i="7" s="1"/>
  <c r="K28" i="7"/>
  <c r="H167" i="7" s="1"/>
  <c r="K32" i="7"/>
  <c r="H171" i="7" s="1"/>
  <c r="L171" i="7" s="1"/>
  <c r="K36" i="7"/>
  <c r="E160" i="7" s="1"/>
  <c r="C39" i="9" s="1"/>
  <c r="K40" i="7"/>
  <c r="E164" i="7" s="1"/>
  <c r="K44" i="7"/>
  <c r="E168" i="7" s="1"/>
  <c r="K48" i="7"/>
  <c r="I157" i="7" s="1"/>
  <c r="K52" i="7"/>
  <c r="I161" i="7" s="1"/>
  <c r="K56" i="7"/>
  <c r="I165" i="7" s="1"/>
  <c r="G42" i="9" s="1"/>
  <c r="K60" i="7"/>
  <c r="I169" i="7" s="1"/>
  <c r="K64" i="7"/>
  <c r="F158" i="7" s="1"/>
  <c r="K68" i="7"/>
  <c r="F162" i="7" s="1"/>
  <c r="K72" i="7"/>
  <c r="F166" i="7" s="1"/>
  <c r="K76" i="7"/>
  <c r="F170" i="7" s="1"/>
  <c r="K80" i="7"/>
  <c r="J159" i="7" s="1"/>
  <c r="H38" i="9" s="1"/>
  <c r="K84" i="7"/>
  <c r="J163" i="7" s="1"/>
  <c r="K88" i="7"/>
  <c r="J167" i="7" s="1"/>
  <c r="L159" i="7"/>
  <c r="AH2" i="1"/>
  <c r="D43" i="9" l="1"/>
  <c r="F56" i="9"/>
  <c r="B43" i="9"/>
  <c r="G43" i="9"/>
  <c r="H43" i="9"/>
  <c r="L115" i="7"/>
  <c r="F43" i="9"/>
  <c r="C43" i="9"/>
  <c r="F37" i="9"/>
  <c r="K135" i="7"/>
  <c r="K140" i="7"/>
  <c r="K143" i="7"/>
  <c r="K148" i="7"/>
  <c r="G146" i="7"/>
  <c r="G138" i="7"/>
  <c r="G147" i="7"/>
  <c r="G143" i="7"/>
  <c r="H149" i="7"/>
  <c r="K134" i="7"/>
  <c r="J149" i="7"/>
  <c r="G145" i="7"/>
  <c r="I149" i="7"/>
  <c r="K147" i="7"/>
  <c r="G141" i="7"/>
  <c r="B24" i="9"/>
  <c r="E24" i="9" s="1"/>
  <c r="G137" i="7"/>
  <c r="K139" i="7"/>
  <c r="K144" i="7"/>
  <c r="B27" i="9"/>
  <c r="E27" i="9" s="1"/>
  <c r="G142" i="7"/>
  <c r="K145" i="7"/>
  <c r="F23" i="9"/>
  <c r="I23" i="9" s="1"/>
  <c r="K136" i="7"/>
  <c r="G134" i="7"/>
  <c r="K141" i="7"/>
  <c r="F24" i="9"/>
  <c r="I24" i="9" s="1"/>
  <c r="K137" i="7"/>
  <c r="G148" i="7"/>
  <c r="G144" i="7"/>
  <c r="G139" i="7"/>
  <c r="G135" i="7"/>
  <c r="K146" i="7"/>
  <c r="G140" i="7"/>
  <c r="F27" i="9"/>
  <c r="I27" i="9" s="1"/>
  <c r="K142" i="7"/>
  <c r="B23" i="9"/>
  <c r="G136" i="7"/>
  <c r="K138" i="7"/>
  <c r="N157" i="7"/>
  <c r="M135" i="7"/>
  <c r="N191" i="7"/>
  <c r="L186" i="7"/>
  <c r="M136" i="7"/>
  <c r="L141" i="7"/>
  <c r="M158" i="7"/>
  <c r="N171" i="7"/>
  <c r="L190" i="7"/>
  <c r="N147" i="7"/>
  <c r="L158" i="7"/>
  <c r="N160" i="7"/>
  <c r="I53" i="9"/>
  <c r="G55" i="9"/>
  <c r="F26" i="9"/>
  <c r="M161" i="7"/>
  <c r="L143" i="7"/>
  <c r="N168" i="7"/>
  <c r="N163" i="7"/>
  <c r="M116" i="7"/>
  <c r="L38" i="9"/>
  <c r="M112" i="7"/>
  <c r="H40" i="9"/>
  <c r="H37" i="9"/>
  <c r="H28" i="9"/>
  <c r="K53" i="9"/>
  <c r="I8" i="9"/>
  <c r="E38" i="9"/>
  <c r="K54" i="9"/>
  <c r="B40" i="9"/>
  <c r="N145" i="7"/>
  <c r="M146" i="7"/>
  <c r="L54" i="9"/>
  <c r="L122" i="7"/>
  <c r="L164" i="7"/>
  <c r="B26" i="9"/>
  <c r="G25" i="9"/>
  <c r="M144" i="7"/>
  <c r="M170" i="7"/>
  <c r="D26" i="9"/>
  <c r="N186" i="7"/>
  <c r="M142" i="7"/>
  <c r="M171" i="7"/>
  <c r="L145" i="7"/>
  <c r="L162" i="7"/>
  <c r="E39" i="9"/>
  <c r="B56" i="9"/>
  <c r="J56" i="9" s="1"/>
  <c r="N141" i="7"/>
  <c r="N146" i="7"/>
  <c r="N182" i="7"/>
  <c r="H41" i="9"/>
  <c r="L39" i="9"/>
  <c r="M159" i="7"/>
  <c r="L42" i="9"/>
  <c r="H11" i="9"/>
  <c r="K39" i="9"/>
  <c r="M162" i="7"/>
  <c r="G40" i="9"/>
  <c r="M191" i="7"/>
  <c r="N124" i="7"/>
  <c r="L120" i="7"/>
  <c r="B13" i="9"/>
  <c r="M192" i="7"/>
  <c r="D41" i="9"/>
  <c r="M125" i="7"/>
  <c r="L24" i="9"/>
  <c r="M164" i="7"/>
  <c r="N164" i="7"/>
  <c r="B41" i="9"/>
  <c r="N166" i="7"/>
  <c r="N161" i="7"/>
  <c r="D40" i="9"/>
  <c r="H52" i="9"/>
  <c r="E42" i="9"/>
  <c r="L160" i="7"/>
  <c r="D37" i="9"/>
  <c r="M143" i="7"/>
  <c r="C40" i="9"/>
  <c r="K42" i="9"/>
  <c r="L163" i="7"/>
  <c r="N162" i="7"/>
  <c r="L182" i="7"/>
  <c r="G22" i="9"/>
  <c r="N125" i="7"/>
  <c r="F13" i="9"/>
  <c r="N116" i="7"/>
  <c r="G41" i="9"/>
  <c r="C37" i="9"/>
  <c r="K38" i="9"/>
  <c r="L114" i="7"/>
  <c r="H13" i="9"/>
  <c r="F11" i="9"/>
  <c r="B52" i="9"/>
  <c r="M148" i="7"/>
  <c r="L137" i="7"/>
  <c r="B10" i="9"/>
  <c r="I38" i="9"/>
  <c r="G37" i="9"/>
  <c r="K23" i="9"/>
  <c r="N167" i="7"/>
  <c r="M163" i="7"/>
  <c r="C41" i="9"/>
  <c r="D7" i="9"/>
  <c r="I42" i="9"/>
  <c r="M188" i="7"/>
  <c r="I39" i="9"/>
  <c r="M186" i="7"/>
  <c r="N170" i="7"/>
  <c r="F40" i="9"/>
  <c r="J42" i="9"/>
  <c r="F41" i="9"/>
  <c r="C7" i="9"/>
  <c r="G7" i="9"/>
  <c r="B25" i="9"/>
  <c r="M122" i="7"/>
  <c r="G26" i="9"/>
  <c r="F10" i="9"/>
  <c r="C22" i="9"/>
  <c r="J38" i="9"/>
  <c r="M185" i="7"/>
  <c r="C56" i="9"/>
  <c r="G10" i="9"/>
  <c r="C13" i="9"/>
  <c r="J8" i="9"/>
  <c r="D56" i="9"/>
  <c r="E53" i="9"/>
  <c r="J53" i="9"/>
  <c r="K27" i="9"/>
  <c r="N179" i="7"/>
  <c r="N121" i="7"/>
  <c r="I57" i="9"/>
  <c r="G28" i="9"/>
  <c r="I12" i="9"/>
  <c r="L53" i="9"/>
  <c r="C25" i="9"/>
  <c r="L121" i="7"/>
  <c r="L27" i="9"/>
  <c r="C11" i="9"/>
  <c r="N189" i="7"/>
  <c r="H58" i="9"/>
  <c r="D25" i="9"/>
  <c r="B22" i="9"/>
  <c r="M113" i="7"/>
  <c r="C8" i="9"/>
  <c r="K8" i="9" s="1"/>
  <c r="F55" i="9"/>
  <c r="L148" i="7"/>
  <c r="M189" i="7"/>
  <c r="C58" i="9"/>
  <c r="N134" i="7"/>
  <c r="D22" i="9"/>
  <c r="L124" i="7"/>
  <c r="H55" i="9"/>
  <c r="F52" i="9"/>
  <c r="F7" i="9"/>
  <c r="H7" i="9"/>
  <c r="F58" i="9"/>
  <c r="N185" i="7"/>
  <c r="H56" i="9"/>
  <c r="K9" i="9"/>
  <c r="N143" i="7"/>
  <c r="L188" i="7"/>
  <c r="D11" i="9"/>
  <c r="L187" i="7"/>
  <c r="B57" i="9"/>
  <c r="E54" i="9"/>
  <c r="J54" i="9"/>
  <c r="E9" i="9"/>
  <c r="J9" i="9"/>
  <c r="D55" i="9"/>
  <c r="L9" i="9"/>
  <c r="K12" i="9"/>
  <c r="K57" i="9"/>
  <c r="B28" i="9"/>
  <c r="D52" i="9"/>
  <c r="H10" i="9"/>
  <c r="C28" i="9"/>
  <c r="J12" i="9"/>
  <c r="E12" i="9"/>
  <c r="C55" i="9"/>
  <c r="D28" i="9"/>
  <c r="L183" i="7"/>
  <c r="B55" i="9"/>
  <c r="K24" i="9"/>
  <c r="M140" i="7"/>
  <c r="C26" i="9"/>
  <c r="L12" i="9"/>
  <c r="G58" i="9"/>
  <c r="G13" i="9"/>
  <c r="C52" i="9"/>
  <c r="G56" i="9"/>
  <c r="F25" i="9"/>
  <c r="G11" i="9"/>
  <c r="L23" i="9"/>
  <c r="M183" i="7"/>
  <c r="N115" i="7"/>
  <c r="D10" i="9"/>
  <c r="L144" i="7"/>
  <c r="F28" i="9"/>
  <c r="D13" i="9"/>
  <c r="H25" i="9"/>
  <c r="F22" i="9"/>
  <c r="H22" i="9"/>
  <c r="I54" i="9"/>
  <c r="N187" i="7"/>
  <c r="D57" i="9"/>
  <c r="L57" i="9" s="1"/>
  <c r="M179" i="7"/>
  <c r="G52" i="9"/>
  <c r="L117" i="7"/>
  <c r="B11" i="9"/>
  <c r="N123" i="7"/>
  <c r="L189" i="7"/>
  <c r="N140" i="7"/>
  <c r="H26" i="9"/>
  <c r="L8" i="9"/>
  <c r="B58" i="9"/>
  <c r="I9" i="9"/>
  <c r="C10" i="9"/>
  <c r="D58" i="9"/>
  <c r="M139" i="7"/>
  <c r="L139" i="7"/>
  <c r="N136" i="7"/>
  <c r="N118" i="7"/>
  <c r="N139" i="7"/>
  <c r="N192" i="7"/>
  <c r="L180" i="7"/>
  <c r="L192" i="7"/>
  <c r="M145" i="7"/>
  <c r="N183" i="7"/>
  <c r="E126" i="7"/>
  <c r="N184" i="7"/>
  <c r="L191" i="7"/>
  <c r="M111" i="7"/>
  <c r="N120" i="7"/>
  <c r="L134" i="7"/>
  <c r="M115" i="7"/>
  <c r="N158" i="7"/>
  <c r="N159" i="7"/>
  <c r="N188" i="7"/>
  <c r="M147" i="7"/>
  <c r="M168" i="7"/>
  <c r="M138" i="7"/>
  <c r="F172" i="7"/>
  <c r="M120" i="7"/>
  <c r="E149" i="7"/>
  <c r="L118" i="7"/>
  <c r="L185" i="7"/>
  <c r="H194" i="7"/>
  <c r="M167" i="7"/>
  <c r="M121" i="7"/>
  <c r="L168" i="7"/>
  <c r="L184" i="7"/>
  <c r="N165" i="7"/>
  <c r="L181" i="7"/>
  <c r="L136" i="7"/>
  <c r="M137" i="7"/>
  <c r="M193" i="7"/>
  <c r="L112" i="7"/>
  <c r="M160" i="7"/>
  <c r="M114" i="7"/>
  <c r="N181" i="7"/>
  <c r="N138" i="7"/>
  <c r="M118" i="7"/>
  <c r="L193" i="7"/>
  <c r="H126" i="7"/>
  <c r="L113" i="7"/>
  <c r="L119" i="7"/>
  <c r="M124" i="7"/>
  <c r="E194" i="7"/>
  <c r="M181" i="7"/>
  <c r="N169" i="7"/>
  <c r="M182" i="7"/>
  <c r="M141" i="7"/>
  <c r="M184" i="7"/>
  <c r="L167" i="7"/>
  <c r="L140" i="7"/>
  <c r="M119" i="7"/>
  <c r="H94" i="7"/>
  <c r="N137" i="7"/>
  <c r="N114" i="7"/>
  <c r="M190" i="7"/>
  <c r="M187" i="7"/>
  <c r="L116" i="7"/>
  <c r="L123" i="7"/>
  <c r="N180" i="7"/>
  <c r="L147" i="7"/>
  <c r="N112" i="7"/>
  <c r="M117" i="7"/>
  <c r="L161" i="7"/>
  <c r="L135" i="7"/>
  <c r="N113" i="7"/>
  <c r="N135" i="7"/>
  <c r="M166" i="7"/>
  <c r="M157" i="7"/>
  <c r="M165" i="7"/>
  <c r="L138" i="7"/>
  <c r="I126" i="7"/>
  <c r="E172" i="7"/>
  <c r="L165" i="7"/>
  <c r="F126" i="7"/>
  <c r="L142" i="7"/>
  <c r="M134" i="7"/>
  <c r="I172" i="7"/>
  <c r="H172" i="7"/>
  <c r="M169" i="7"/>
  <c r="L125" i="7"/>
  <c r="L146" i="7"/>
  <c r="M123" i="7"/>
  <c r="I194" i="7"/>
  <c r="N117" i="7"/>
  <c r="F149" i="7"/>
  <c r="J194" i="7"/>
  <c r="N190" i="7"/>
  <c r="N193" i="7"/>
  <c r="J94" i="7"/>
  <c r="F194" i="7"/>
  <c r="I94" i="7"/>
  <c r="D149" i="7"/>
  <c r="D111" i="7"/>
  <c r="B7" i="9" s="1"/>
  <c r="N119" i="7"/>
  <c r="J126" i="7"/>
  <c r="D157" i="7"/>
  <c r="B37" i="9" s="1"/>
  <c r="K94" i="7"/>
  <c r="N142" i="7"/>
  <c r="M180" i="7"/>
  <c r="N122" i="7"/>
  <c r="N144" i="7"/>
  <c r="J172" i="7"/>
  <c r="D194" i="7"/>
  <c r="L179" i="7"/>
  <c r="BC2" i="1"/>
  <c r="J24" i="9" l="1"/>
  <c r="M24" i="9" s="1"/>
  <c r="O136" i="7"/>
  <c r="J27" i="9"/>
  <c r="M27" i="9" s="1"/>
  <c r="O137" i="7"/>
  <c r="J23" i="9"/>
  <c r="M23" i="9" s="1"/>
  <c r="O144" i="7"/>
  <c r="O140" i="7"/>
  <c r="O146" i="7"/>
  <c r="O135" i="7"/>
  <c r="O143" i="7"/>
  <c r="O139" i="7"/>
  <c r="N149" i="7"/>
  <c r="L149" i="7"/>
  <c r="O134" i="7"/>
  <c r="E23" i="9"/>
  <c r="O147" i="7"/>
  <c r="O142" i="7"/>
  <c r="O145" i="7"/>
  <c r="O141" i="7"/>
  <c r="M149" i="7"/>
  <c r="O138" i="7"/>
  <c r="O148" i="7"/>
  <c r="K149" i="7"/>
  <c r="G149" i="7"/>
  <c r="K55" i="9"/>
  <c r="J26" i="9"/>
  <c r="H44" i="9"/>
  <c r="M39" i="9"/>
  <c r="J41" i="9"/>
  <c r="L37" i="9"/>
  <c r="L28" i="9"/>
  <c r="I37" i="9"/>
  <c r="L40" i="9"/>
  <c r="I40" i="9"/>
  <c r="I28" i="9"/>
  <c r="K25" i="9"/>
  <c r="I11" i="9"/>
  <c r="J10" i="9"/>
  <c r="J13" i="9"/>
  <c r="K22" i="9"/>
  <c r="J25" i="9"/>
  <c r="M54" i="9"/>
  <c r="K40" i="9"/>
  <c r="K11" i="9"/>
  <c r="K26" i="9"/>
  <c r="L11" i="9"/>
  <c r="E56" i="9"/>
  <c r="K37" i="9"/>
  <c r="L7" i="9"/>
  <c r="L13" i="9"/>
  <c r="G29" i="9"/>
  <c r="G44" i="9"/>
  <c r="L41" i="9"/>
  <c r="N172" i="7"/>
  <c r="K7" i="9"/>
  <c r="G59" i="9"/>
  <c r="M42" i="9"/>
  <c r="M53" i="9"/>
  <c r="H59" i="9"/>
  <c r="I56" i="9"/>
  <c r="M12" i="9"/>
  <c r="I41" i="9"/>
  <c r="D14" i="9"/>
  <c r="K28" i="9"/>
  <c r="I26" i="9"/>
  <c r="G14" i="9"/>
  <c r="I10" i="9"/>
  <c r="J40" i="9"/>
  <c r="E26" i="9"/>
  <c r="M38" i="9"/>
  <c r="K10" i="9"/>
  <c r="K41" i="9"/>
  <c r="L25" i="9"/>
  <c r="E41" i="9"/>
  <c r="M172" i="7"/>
  <c r="E37" i="9"/>
  <c r="J37" i="9"/>
  <c r="E40" i="9"/>
  <c r="D29" i="9"/>
  <c r="L22" i="9"/>
  <c r="K43" i="9"/>
  <c r="C44" i="9"/>
  <c r="E10" i="9"/>
  <c r="J28" i="9"/>
  <c r="E28" i="9"/>
  <c r="K58" i="9"/>
  <c r="E13" i="9"/>
  <c r="E25" i="9"/>
  <c r="L56" i="9"/>
  <c r="E8" i="9"/>
  <c r="J7" i="9"/>
  <c r="B14" i="9"/>
  <c r="E7" i="9"/>
  <c r="E58" i="9"/>
  <c r="J58" i="9"/>
  <c r="M8" i="9"/>
  <c r="J43" i="9"/>
  <c r="E43" i="9"/>
  <c r="B44" i="9"/>
  <c r="H29" i="9"/>
  <c r="L55" i="9"/>
  <c r="I43" i="9"/>
  <c r="F44" i="9"/>
  <c r="C29" i="9"/>
  <c r="K13" i="9"/>
  <c r="L43" i="9"/>
  <c r="D44" i="9"/>
  <c r="I22" i="9"/>
  <c r="F29" i="9"/>
  <c r="J55" i="9"/>
  <c r="E55" i="9"/>
  <c r="I58" i="9"/>
  <c r="I25" i="9"/>
  <c r="M9" i="9"/>
  <c r="H14" i="9"/>
  <c r="I55" i="9"/>
  <c r="C14" i="9"/>
  <c r="F14" i="9"/>
  <c r="I7" i="9"/>
  <c r="F59" i="9"/>
  <c r="I52" i="9"/>
  <c r="B29" i="9"/>
  <c r="E22" i="9"/>
  <c r="J22" i="9"/>
  <c r="K52" i="9"/>
  <c r="C59" i="9"/>
  <c r="I13" i="9"/>
  <c r="K56" i="9"/>
  <c r="J11" i="9"/>
  <c r="E11" i="9"/>
  <c r="E57" i="9"/>
  <c r="J57" i="9"/>
  <c r="M57" i="9" s="1"/>
  <c r="L26" i="9"/>
  <c r="E52" i="9"/>
  <c r="B59" i="9"/>
  <c r="L52" i="9"/>
  <c r="D59" i="9"/>
  <c r="L58" i="9"/>
  <c r="L10" i="9"/>
  <c r="J52" i="9"/>
  <c r="M126" i="7"/>
  <c r="L194" i="7"/>
  <c r="N126" i="7"/>
  <c r="M194" i="7"/>
  <c r="N194" i="7"/>
  <c r="L111" i="7"/>
  <c r="L126" i="7" s="1"/>
  <c r="D172" i="7"/>
  <c r="L157" i="7"/>
  <c r="L172" i="7" s="1"/>
  <c r="D126" i="7"/>
  <c r="AU2" i="1"/>
  <c r="Q140" i="7" l="1"/>
  <c r="Q138" i="7"/>
  <c r="Q134" i="7"/>
  <c r="O149" i="7"/>
  <c r="I44" i="9"/>
  <c r="M26" i="9"/>
  <c r="K29" i="9"/>
  <c r="L29" i="9"/>
  <c r="M10" i="9"/>
  <c r="I29" i="9"/>
  <c r="E14" i="9"/>
  <c r="I59" i="9"/>
  <c r="M25" i="9"/>
  <c r="K14" i="9"/>
  <c r="M40" i="9"/>
  <c r="M11" i="9"/>
  <c r="M41" i="9"/>
  <c r="I14" i="9"/>
  <c r="E29" i="9"/>
  <c r="M37" i="9"/>
  <c r="L44" i="9"/>
  <c r="M56" i="9"/>
  <c r="M28" i="9"/>
  <c r="M13" i="9"/>
  <c r="M55" i="9"/>
  <c r="K44" i="9"/>
  <c r="L59" i="9"/>
  <c r="E59" i="9"/>
  <c r="L14" i="9"/>
  <c r="M7" i="9"/>
  <c r="J14" i="9"/>
  <c r="M58" i="9"/>
  <c r="E44" i="9"/>
  <c r="K59" i="9"/>
  <c r="M43" i="9"/>
  <c r="J44" i="9"/>
  <c r="J59" i="9"/>
  <c r="M52" i="9"/>
  <c r="J29" i="9"/>
  <c r="M22" i="9"/>
  <c r="AX2" i="1"/>
  <c r="M29" i="9" l="1"/>
  <c r="M59" i="9"/>
  <c r="M44" i="9"/>
  <c r="I45" i="9"/>
  <c r="M14" i="9"/>
  <c r="M15" i="9" s="1"/>
  <c r="E45" i="9"/>
  <c r="AV2" i="1"/>
  <c r="M45" i="9" l="1"/>
  <c r="E15" i="9"/>
  <c r="I15" i="9"/>
  <c r="BB2" i="1"/>
  <c r="AF2" i="1" l="1"/>
  <c r="BD2" i="1" l="1"/>
  <c r="BE2" i="1" l="1"/>
  <c r="AO2" i="1" l="1"/>
  <c r="D4" i="6" l="1"/>
  <c r="D5" i="6" s="1"/>
  <c r="D6" i="6" s="1"/>
  <c r="D7" i="6" s="1"/>
  <c r="D8" i="6" s="1"/>
  <c r="D10" i="6" s="1"/>
  <c r="D11" i="6" s="1"/>
  <c r="D12" i="6" s="1"/>
  <c r="D13" i="6" s="1"/>
  <c r="D14" i="6" s="1"/>
  <c r="D15" i="6" s="1"/>
  <c r="D16" i="6" s="1"/>
  <c r="BF2" i="1"/>
  <c r="BA2" i="1"/>
  <c r="AZ2" i="1"/>
  <c r="AY2" i="1"/>
  <c r="AW2" i="1"/>
  <c r="AT2" i="1"/>
  <c r="AS2" i="1"/>
  <c r="AQ2" i="1"/>
  <c r="AP2" i="1"/>
  <c r="AN2" i="1"/>
  <c r="AM2" i="1"/>
  <c r="AJ2" i="1"/>
  <c r="AK2" i="1" s="1"/>
  <c r="AI2" i="1"/>
  <c r="AE2" i="1"/>
  <c r="BG2" i="1" l="1"/>
  <c r="Y1" i="7" l="1"/>
  <c r="Y3" i="7"/>
  <c r="Y2" i="7"/>
  <c r="Y4" i="7"/>
  <c r="AB2" i="7" l="1"/>
  <c r="E30" i="9" s="1"/>
  <c r="Y5" i="7"/>
  <c r="AB1" i="7"/>
  <c r="I30" i="9" s="1"/>
  <c r="M30" i="9" l="1"/>
  <c r="AB3" i="7"/>
  <c r="AB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rls</author>
  </authors>
  <commentList>
    <comment ref="AP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Verifica que la información ingresada corresponda a los códigos señalados en la Tabla N° 07.
Sólo si en el campo </t>
        </r>
        <r>
          <rPr>
            <b/>
            <sz val="8"/>
            <color indexed="81"/>
            <rFont val="Tahoma"/>
            <family val="2"/>
          </rPr>
          <t>SIST_REM se informa 61 ó 80</t>
        </r>
        <r>
          <rPr>
            <sz val="8"/>
            <color indexed="81"/>
            <rFont val="Tahoma"/>
            <family val="2"/>
          </rPr>
          <t>,  se debe informar “INDEF” o “PFIJO”.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<sst xmlns="http://schemas.openxmlformats.org/spreadsheetml/2006/main" count="3865" uniqueCount="1302">
  <si>
    <t>TIPO_INFO</t>
  </si>
  <si>
    <t>ID_SERV</t>
  </si>
  <si>
    <t>RUN</t>
  </si>
  <si>
    <t>DV</t>
  </si>
  <si>
    <t>MES</t>
  </si>
  <si>
    <t>PRIMER_DIA</t>
  </si>
  <si>
    <t>N_DIAS</t>
  </si>
  <si>
    <t>TIPO_LM</t>
  </si>
  <si>
    <t>ESTADO_RES</t>
  </si>
  <si>
    <t>REEMPLAZO</t>
  </si>
  <si>
    <t>09</t>
  </si>
  <si>
    <t>N</t>
  </si>
  <si>
    <t>PENDIENTE</t>
  </si>
  <si>
    <t>06</t>
  </si>
  <si>
    <t>07</t>
  </si>
  <si>
    <t>08</t>
  </si>
  <si>
    <t>03</t>
  </si>
  <si>
    <t>04</t>
  </si>
  <si>
    <t>01</t>
  </si>
  <si>
    <t>S</t>
  </si>
  <si>
    <t>05</t>
  </si>
  <si>
    <t>02</t>
  </si>
  <si>
    <t>130601</t>
  </si>
  <si>
    <t>AUTORIZADO</t>
  </si>
  <si>
    <t>REDUCIDO</t>
  </si>
  <si>
    <t>RECHAZADO</t>
  </si>
  <si>
    <t>Pendiente</t>
  </si>
  <si>
    <t>080401</t>
  </si>
  <si>
    <t>080701</t>
  </si>
  <si>
    <t>081501</t>
  </si>
  <si>
    <t>080301</t>
  </si>
  <si>
    <t>080501</t>
  </si>
  <si>
    <t>NO</t>
  </si>
  <si>
    <t>050501</t>
  </si>
  <si>
    <t>050502</t>
  </si>
  <si>
    <t>SERVICIO ELECTORAL</t>
  </si>
  <si>
    <t>Autorizado</t>
  </si>
  <si>
    <t>Reducido</t>
  </si>
  <si>
    <t>Rechazado</t>
  </si>
  <si>
    <t>130101</t>
  </si>
  <si>
    <t>081701</t>
  </si>
  <si>
    <t>120501</t>
  </si>
  <si>
    <t>120101</t>
  </si>
  <si>
    <t>050701</t>
  </si>
  <si>
    <t>130201</t>
  </si>
  <si>
    <t>Fórmula
VALOR
DV</t>
  </si>
  <si>
    <t>Validar DV</t>
  </si>
  <si>
    <t>FECHA INICIO</t>
  </si>
  <si>
    <t>CODIGO</t>
  </si>
  <si>
    <t>MINISTERIO</t>
  </si>
  <si>
    <t>NOMBRE SERVICIO</t>
  </si>
  <si>
    <t>NOMBRE PROGRAMA</t>
  </si>
  <si>
    <t>010101</t>
  </si>
  <si>
    <t>020101</t>
  </si>
  <si>
    <t>CONGRESO NACIONAL</t>
  </si>
  <si>
    <t>020201</t>
  </si>
  <si>
    <t>020301</t>
  </si>
  <si>
    <t>020401</t>
  </si>
  <si>
    <t>030101</t>
  </si>
  <si>
    <t>PODER JUDICIAL</t>
  </si>
  <si>
    <t>030301</t>
  </si>
  <si>
    <t>030401</t>
  </si>
  <si>
    <t>040101</t>
  </si>
  <si>
    <t>050201</t>
  </si>
  <si>
    <t>050401</t>
  </si>
  <si>
    <t>050503</t>
  </si>
  <si>
    <t>060101</t>
  </si>
  <si>
    <t>MINISTERIO DE RELACIONES EXTERIORES</t>
  </si>
  <si>
    <t>060301</t>
  </si>
  <si>
    <t>060401</t>
  </si>
  <si>
    <t>060501</t>
  </si>
  <si>
    <t>070101</t>
  </si>
  <si>
    <t>070107</t>
  </si>
  <si>
    <t>070201</t>
  </si>
  <si>
    <t>070301</t>
  </si>
  <si>
    <t>070401</t>
  </si>
  <si>
    <t>070601</t>
  </si>
  <si>
    <t>070701</t>
  </si>
  <si>
    <t>070801</t>
  </si>
  <si>
    <t>070901</t>
  </si>
  <si>
    <t>071601</t>
  </si>
  <si>
    <t>071901</t>
  </si>
  <si>
    <t>072101</t>
  </si>
  <si>
    <t>072301</t>
  </si>
  <si>
    <t>072401</t>
  </si>
  <si>
    <t>080101</t>
  </si>
  <si>
    <t>MINISTERIO DE HACIENDA</t>
  </si>
  <si>
    <t>080106</t>
  </si>
  <si>
    <t>080201</t>
  </si>
  <si>
    <t>081601</t>
  </si>
  <si>
    <t>083001</t>
  </si>
  <si>
    <t>090103</t>
  </si>
  <si>
    <t>090104</t>
  </si>
  <si>
    <t>090111</t>
  </si>
  <si>
    <t>090120</t>
  </si>
  <si>
    <t>090121</t>
  </si>
  <si>
    <t>090901</t>
  </si>
  <si>
    <t>090902</t>
  </si>
  <si>
    <t>090903</t>
  </si>
  <si>
    <t>091101</t>
  </si>
  <si>
    <t>091102</t>
  </si>
  <si>
    <t>091301</t>
  </si>
  <si>
    <t>091501</t>
  </si>
  <si>
    <t>100101</t>
  </si>
  <si>
    <t>100102</t>
  </si>
  <si>
    <t>100201</t>
  </si>
  <si>
    <t>100301</t>
  </si>
  <si>
    <t>100401</t>
  </si>
  <si>
    <t>100402</t>
  </si>
  <si>
    <t>100701</t>
  </si>
  <si>
    <t>100702</t>
  </si>
  <si>
    <t>100901</t>
  </si>
  <si>
    <t>MINISTERIO DE DEFENSA NACIONAL</t>
  </si>
  <si>
    <t>111801</t>
  </si>
  <si>
    <t>111901</t>
  </si>
  <si>
    <t>112001</t>
  </si>
  <si>
    <t>112101</t>
  </si>
  <si>
    <t>112201</t>
  </si>
  <si>
    <t>112301</t>
  </si>
  <si>
    <t>112401</t>
  </si>
  <si>
    <t>112501</t>
  </si>
  <si>
    <t>120202</t>
  </si>
  <si>
    <t>120203</t>
  </si>
  <si>
    <t>120204</t>
  </si>
  <si>
    <t>120206</t>
  </si>
  <si>
    <t>120207</t>
  </si>
  <si>
    <t>120211</t>
  </si>
  <si>
    <t>120212</t>
  </si>
  <si>
    <t>120401</t>
  </si>
  <si>
    <t>120701</t>
  </si>
  <si>
    <t>MINISTERIO DE AGRICULTURA</t>
  </si>
  <si>
    <t>130102</t>
  </si>
  <si>
    <t>130301</t>
  </si>
  <si>
    <t>130401</t>
  </si>
  <si>
    <t>130404</t>
  </si>
  <si>
    <t>130405</t>
  </si>
  <si>
    <t>130406</t>
  </si>
  <si>
    <t>130407</t>
  </si>
  <si>
    <t>130501</t>
  </si>
  <si>
    <t>130503</t>
  </si>
  <si>
    <t>130504</t>
  </si>
  <si>
    <t>130505</t>
  </si>
  <si>
    <t>140101</t>
  </si>
  <si>
    <t>MINISTERIO DE BIENES NACIONALES</t>
  </si>
  <si>
    <t>150101</t>
  </si>
  <si>
    <t>150103</t>
  </si>
  <si>
    <t>150201</t>
  </si>
  <si>
    <t>150301</t>
  </si>
  <si>
    <t>150401</t>
  </si>
  <si>
    <t>150501</t>
  </si>
  <si>
    <t>150601</t>
  </si>
  <si>
    <t>150701</t>
  </si>
  <si>
    <t>150901</t>
  </si>
  <si>
    <t>151001</t>
  </si>
  <si>
    <t>151301</t>
  </si>
  <si>
    <t>151302</t>
  </si>
  <si>
    <t>151401</t>
  </si>
  <si>
    <t>160201</t>
  </si>
  <si>
    <t>MINISTERIO DE SALUD</t>
  </si>
  <si>
    <t>160202</t>
  </si>
  <si>
    <t>160204</t>
  </si>
  <si>
    <t>160401</t>
  </si>
  <si>
    <t>160501</t>
  </si>
  <si>
    <t>160901</t>
  </si>
  <si>
    <t>161001</t>
  </si>
  <si>
    <t>161002</t>
  </si>
  <si>
    <t>161101</t>
  </si>
  <si>
    <t>162001</t>
  </si>
  <si>
    <t>162101</t>
  </si>
  <si>
    <t>162201</t>
  </si>
  <si>
    <t>162301</t>
  </si>
  <si>
    <t>162401</t>
  </si>
  <si>
    <t>162501</t>
  </si>
  <si>
    <t>162601</t>
  </si>
  <si>
    <t>162701</t>
  </si>
  <si>
    <t>162801</t>
  </si>
  <si>
    <t>162901</t>
  </si>
  <si>
    <t>163001</t>
  </si>
  <si>
    <t>163101</t>
  </si>
  <si>
    <t>163201</t>
  </si>
  <si>
    <t>163301</t>
  </si>
  <si>
    <t>163401</t>
  </si>
  <si>
    <t>163501</t>
  </si>
  <si>
    <t>163601</t>
  </si>
  <si>
    <t>163701</t>
  </si>
  <si>
    <t>163801</t>
  </si>
  <si>
    <t>163901</t>
  </si>
  <si>
    <t>164001</t>
  </si>
  <si>
    <t>164101</t>
  </si>
  <si>
    <t>164201</t>
  </si>
  <si>
    <t>164301</t>
  </si>
  <si>
    <t>164401</t>
  </si>
  <si>
    <t>164501</t>
  </si>
  <si>
    <t>164601</t>
  </si>
  <si>
    <t>164701</t>
  </si>
  <si>
    <t>164901</t>
  </si>
  <si>
    <t>165101</t>
  </si>
  <si>
    <t>165201</t>
  </si>
  <si>
    <t>165301</t>
  </si>
  <si>
    <t>170101</t>
  </si>
  <si>
    <t>170102</t>
  </si>
  <si>
    <t>170201</t>
  </si>
  <si>
    <t>170301</t>
  </si>
  <si>
    <t>170302</t>
  </si>
  <si>
    <t>170303</t>
  </si>
  <si>
    <t>170304</t>
  </si>
  <si>
    <t>180101</t>
  </si>
  <si>
    <t>MINISTERIO DE VIVIENDA Y URBANISMO</t>
  </si>
  <si>
    <t>180102</t>
  </si>
  <si>
    <t>180104</t>
  </si>
  <si>
    <t>180201</t>
  </si>
  <si>
    <t>182101</t>
  </si>
  <si>
    <t>182201</t>
  </si>
  <si>
    <t>182301</t>
  </si>
  <si>
    <t>182401</t>
  </si>
  <si>
    <t>182501</t>
  </si>
  <si>
    <t>182601</t>
  </si>
  <si>
    <t>182701</t>
  </si>
  <si>
    <t>182801</t>
  </si>
  <si>
    <t>182901</t>
  </si>
  <si>
    <t>183001</t>
  </si>
  <si>
    <t>183101</t>
  </si>
  <si>
    <t>183201</t>
  </si>
  <si>
    <t>183301</t>
  </si>
  <si>
    <t>183401</t>
  </si>
  <si>
    <t>183501</t>
  </si>
  <si>
    <t>190101</t>
  </si>
  <si>
    <t>MINISTERIO DE TRANSPORTES Y TELECOMUNICACIONES</t>
  </si>
  <si>
    <t>190103</t>
  </si>
  <si>
    <t>190104</t>
  </si>
  <si>
    <t>190105</t>
  </si>
  <si>
    <t>190106</t>
  </si>
  <si>
    <t>190107</t>
  </si>
  <si>
    <t>190108</t>
  </si>
  <si>
    <t>190201</t>
  </si>
  <si>
    <t>190301</t>
  </si>
  <si>
    <t>200101</t>
  </si>
  <si>
    <t>200201</t>
  </si>
  <si>
    <t>210201</t>
  </si>
  <si>
    <t>210501</t>
  </si>
  <si>
    <t>210601</t>
  </si>
  <si>
    <t>210701</t>
  </si>
  <si>
    <t>210801</t>
  </si>
  <si>
    <t>220101</t>
  </si>
  <si>
    <t>230101</t>
  </si>
  <si>
    <t>240101</t>
  </si>
  <si>
    <t>240103</t>
  </si>
  <si>
    <t>240104</t>
  </si>
  <si>
    <t>240201</t>
  </si>
  <si>
    <t>240301</t>
  </si>
  <si>
    <t>240401</t>
  </si>
  <si>
    <t>250101</t>
  </si>
  <si>
    <t>MINISTERIO DEL MEDIO AMBIENTE</t>
  </si>
  <si>
    <t>250201</t>
  </si>
  <si>
    <t>250301</t>
  </si>
  <si>
    <t>TABLA DE CONVERSIÓN MATRIZ LICENCIAS MÉDICAS PRESENTADAS (ARCHIVO L)</t>
  </si>
  <si>
    <t>Mes en que fue realizada</t>
  </si>
  <si>
    <t>Descripción</t>
  </si>
  <si>
    <t>Código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</si>
  <si>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</si>
  <si>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</si>
  <si>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</si>
  <si>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</si>
  <si>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</si>
  <si>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</si>
  <si>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</si>
  <si>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</si>
  <si>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</si>
  <si>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</si>
  <si>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10</t>
  </si>
  <si>
    <t>Noviembre</t>
  </si>
  <si>
    <t>11</t>
  </si>
  <si>
    <t>Diciembre</t>
  </si>
  <si>
    <t>12</t>
  </si>
  <si>
    <t>Tipos Licencia Médica</t>
  </si>
  <si>
    <t>Enfermedad o Accidente Común</t>
  </si>
  <si>
    <t>Prorroga Medicina Preventiva</t>
  </si>
  <si>
    <t>Licencia Maternal Pre y Post Natal</t>
  </si>
  <si>
    <t>Enfermedad grave hijo menor de un año</t>
  </si>
  <si>
    <t>Patología del Embarazo</t>
  </si>
  <si>
    <t>SI/NO</t>
  </si>
  <si>
    <t>SI</t>
  </si>
  <si>
    <t>Estado Resolución</t>
  </si>
  <si>
    <t>PRIMER-DIA</t>
  </si>
  <si>
    <t>FECHA TERMINO</t>
  </si>
  <si>
    <t>TABLA N°09</t>
  </si>
  <si>
    <t>REVISIÓN RUN</t>
  </si>
  <si>
    <t>PRESIDENCIA DE LA REPÚBLICA</t>
  </si>
  <si>
    <t>Presidencia de la República</t>
  </si>
  <si>
    <t>Senado</t>
  </si>
  <si>
    <t>Cámara de Diputados</t>
  </si>
  <si>
    <t>Biblioteca del Congreso</t>
  </si>
  <si>
    <t>Consejo Resolutivo de Asignaciones Parlamentarias</t>
  </si>
  <si>
    <t>Poder Judicial</t>
  </si>
  <si>
    <t>Corporación Administrativa del Poder Judicial</t>
  </si>
  <si>
    <t>Academia Judicial</t>
  </si>
  <si>
    <t>CONTRALORÍA GENERAL DE LA REPÚBLICA</t>
  </si>
  <si>
    <t>Contraloría General de la República</t>
  </si>
  <si>
    <t>Red de Conectividad del Estado</t>
  </si>
  <si>
    <t>Fondo Social</t>
  </si>
  <si>
    <t>Servicio de Gobierno Interior</t>
  </si>
  <si>
    <t>Servicio Electoral</t>
  </si>
  <si>
    <t>Fortalecimiento de la Gestión Subnacional</t>
  </si>
  <si>
    <t>Agencia Nacional de Inteligencia</t>
  </si>
  <si>
    <t>050901</t>
  </si>
  <si>
    <t>051001</t>
  </si>
  <si>
    <t>Subsecretaría del Interior</t>
  </si>
  <si>
    <t>Carabineros de Chile</t>
  </si>
  <si>
    <t>Gobierno Regional Región Metropolitana de Santiago</t>
  </si>
  <si>
    <t>Secretaría y Administración General y Servicio Exterior</t>
  </si>
  <si>
    <t>Dirección de Fronteras y Límites del Estado</t>
  </si>
  <si>
    <t>Instituto Antártico Chileno</t>
  </si>
  <si>
    <t>MINISTERIO DE ECONOMÍA, FOMENTO Y TURISMO</t>
  </si>
  <si>
    <t>Subsecretaría de Economía y Empresas de Menor Tamaño</t>
  </si>
  <si>
    <t>Servicio Nacional del Consumidor</t>
  </si>
  <si>
    <t>Corporación de Fomento de la Producción</t>
  </si>
  <si>
    <t>Instituto Nacional de Estadísticas</t>
  </si>
  <si>
    <t>Fiscalía Nacional Económica</t>
  </si>
  <si>
    <t>Servicio Nacional de Turismo</t>
  </si>
  <si>
    <t>Servicio de Cooperación Técnica</t>
  </si>
  <si>
    <t>Comité Innova Chile</t>
  </si>
  <si>
    <t>Subsecretaría de Turismo</t>
  </si>
  <si>
    <t>Consejo de Auditoría Interna General de Gobierno</t>
  </si>
  <si>
    <t>Dirección de Presupuestos</t>
  </si>
  <si>
    <t>Servicio de Impuestos Internos</t>
  </si>
  <si>
    <t>Servicio Nacional de Aduanas</t>
  </si>
  <si>
    <t>Servicio de Tesorerías</t>
  </si>
  <si>
    <t>Dirección de Compras y Contratación Pública</t>
  </si>
  <si>
    <t>Dirección Nacional del Servicio Civil</t>
  </si>
  <si>
    <t>Unidad de Análisis Financiero</t>
  </si>
  <si>
    <t>Superintendencia de Casinos de Juego</t>
  </si>
  <si>
    <t>Consejo de Defensa del Estado</t>
  </si>
  <si>
    <t>MINISTERIO DE EDUCACIÓN</t>
  </si>
  <si>
    <t>Subsecretaría de Educación</t>
  </si>
  <si>
    <t>Mejoramiento de la Calidad de la Educación</t>
  </si>
  <si>
    <t>Recursos Educativos</t>
  </si>
  <si>
    <t>Subvenciones a los Establecimientos Educacionales</t>
  </si>
  <si>
    <t>Gestión de Subvenciones a Establecimientos Educacionales</t>
  </si>
  <si>
    <t>Junta Nacional de Auxilio Escolar y Becas</t>
  </si>
  <si>
    <t>Salud Escolar</t>
  </si>
  <si>
    <t>Becas y Asistencialidad Estudiantil</t>
  </si>
  <si>
    <t>Junta Nacional de Jardines Infantiles</t>
  </si>
  <si>
    <t>Consejo de Rectores</t>
  </si>
  <si>
    <t>Consejo Nacional de Educación</t>
  </si>
  <si>
    <t>Fondos Culturales y Artísticos</t>
  </si>
  <si>
    <t>Servicio Médico Legal</t>
  </si>
  <si>
    <t>Gendarmería de Chile</t>
  </si>
  <si>
    <t>Programas de Rehabilitación y Reinserción Social</t>
  </si>
  <si>
    <t>Servicio Nacional de Menores</t>
  </si>
  <si>
    <t>Programa de Administración Directa y Proyectos Nacionales</t>
  </si>
  <si>
    <t>Defensoría Penal Pública</t>
  </si>
  <si>
    <t>110101</t>
  </si>
  <si>
    <t>Ejército de Chile</t>
  </si>
  <si>
    <t>110301</t>
  </si>
  <si>
    <t>110401</t>
  </si>
  <si>
    <t>110501</t>
  </si>
  <si>
    <t>Armada de Chile</t>
  </si>
  <si>
    <t>110701</t>
  </si>
  <si>
    <t>110801</t>
  </si>
  <si>
    <t>Dirección de Sanidad</t>
  </si>
  <si>
    <t>110901</t>
  </si>
  <si>
    <t>Fuerza Aérea de Chile</t>
  </si>
  <si>
    <t>111101</t>
  </si>
  <si>
    <t>Dirección General de Movilización Nacional</t>
  </si>
  <si>
    <t>Instituto Geográfico Militar</t>
  </si>
  <si>
    <t>Servicio Hidrográfico y Oceanográfico de la Armada de Chile</t>
  </si>
  <si>
    <t>Dirección General de Aeronáutica Civil</t>
  </si>
  <si>
    <t>Subsecretaría para las Fuerzas Armadas</t>
  </si>
  <si>
    <t>Subsecretaría de Defensa</t>
  </si>
  <si>
    <t>Estado Mayor Conjunto</t>
  </si>
  <si>
    <t>MINISTERIO DE OBRAS PÚBLICAS</t>
  </si>
  <si>
    <t>Dirección General de Obras Públicas</t>
  </si>
  <si>
    <t>Dirección de Contabilidad y Finanzas</t>
  </si>
  <si>
    <t>Dirección de Arquitectura</t>
  </si>
  <si>
    <t>Dirección de Obras Hidráulicas</t>
  </si>
  <si>
    <t>Dirección de Vialidad</t>
  </si>
  <si>
    <t>Dirección de Obras Portuarias</t>
  </si>
  <si>
    <t>Dirección de Aeropuertos</t>
  </si>
  <si>
    <t>Dirección de Planeamiento</t>
  </si>
  <si>
    <t>Dirección General de Aguas</t>
  </si>
  <si>
    <t>Instituto Nacional de Hidráulica</t>
  </si>
  <si>
    <t>Superintendencia de Servicios Sanitarios</t>
  </si>
  <si>
    <t>Subsecretaría de Agricultura</t>
  </si>
  <si>
    <t>Investigación e Innovación Tecnológica Silvoagropecuaria</t>
  </si>
  <si>
    <t>Oficina de Estudios y Políticas Agrarias</t>
  </si>
  <si>
    <t>Servicio Agrícola y Ganadero</t>
  </si>
  <si>
    <t>Inspecciones Exportaciones Silvoagropecuarias</t>
  </si>
  <si>
    <t>Programa Desarrollo Ganadero</t>
  </si>
  <si>
    <t>Vigilancia y Control Silvoagrícola</t>
  </si>
  <si>
    <t>Programa de Controles Fronterizos</t>
  </si>
  <si>
    <t>130408</t>
  </si>
  <si>
    <t>Programa Gestión y Conservación de Recursos Naturales Renovables</t>
  </si>
  <si>
    <t>Corporación Nacional Forestal</t>
  </si>
  <si>
    <t>Programa de Manejo del Fuego</t>
  </si>
  <si>
    <t>Áreas Silvestres Protegidas</t>
  </si>
  <si>
    <t>Gestión Forestal</t>
  </si>
  <si>
    <t>130506</t>
  </si>
  <si>
    <t>Programa de Arborización Urbana</t>
  </si>
  <si>
    <t>Comisión Nacional de Riego</t>
  </si>
  <si>
    <t>Subsecretaría de Bienes Nacionales</t>
  </si>
  <si>
    <t>Subsecretaría del Trabajo</t>
  </si>
  <si>
    <t>Proempleo</t>
  </si>
  <si>
    <t>Dirección del Trabajo</t>
  </si>
  <si>
    <t>Dirección General de Crédito Prendario</t>
  </si>
  <si>
    <t>Servicio Nacional de Capacitación y Empleo</t>
  </si>
  <si>
    <t>Superintendencia de Seguridad Social</t>
  </si>
  <si>
    <t>Superintendencia de Pensiones</t>
  </si>
  <si>
    <t>Instituto de Seguridad Laboral</t>
  </si>
  <si>
    <t>Fondo de Medicina Curativa</t>
  </si>
  <si>
    <t>Dirección de Previsión de Carabineros de Chile</t>
  </si>
  <si>
    <t>Fondo Nacional de Salud</t>
  </si>
  <si>
    <t>Programa de Atención Primaria</t>
  </si>
  <si>
    <t>Programa de Prestaciones Institucionales</t>
  </si>
  <si>
    <t>Instituto de Salud Pública de Chile</t>
  </si>
  <si>
    <t>Subsecretaría de Salud Pública</t>
  </si>
  <si>
    <t>Subsecretaría de Redes Asistenciales</t>
  </si>
  <si>
    <t>Inversión Sectorial de Salud</t>
  </si>
  <si>
    <t>Superintendencia de Salud</t>
  </si>
  <si>
    <t>Servicio de Salud Antofagasta</t>
  </si>
  <si>
    <t>Servicio de Salud Atacama</t>
  </si>
  <si>
    <t>Servicio de Salud Coquimbo</t>
  </si>
  <si>
    <t>Servicio de Salud Viña del Mar - Quillota</t>
  </si>
  <si>
    <t>Servicio de Salud Aconcagua</t>
  </si>
  <si>
    <t>Servicio de Salud Maule</t>
  </si>
  <si>
    <t>Servicio de Salud Ñuble</t>
  </si>
  <si>
    <t>Servicio de Salud Concepción</t>
  </si>
  <si>
    <t>Servicio de Salud Talcahuano</t>
  </si>
  <si>
    <t>Servicio de Salud Arauco</t>
  </si>
  <si>
    <t>Servicio de Salud Araucanía Norte</t>
  </si>
  <si>
    <t>Servicio de Salud Araucanía Sur</t>
  </si>
  <si>
    <t>Servicio de Salud Osorno</t>
  </si>
  <si>
    <t>Servicio de Salud del Reloncaví</t>
  </si>
  <si>
    <t>Servicio de Salud Magallanes</t>
  </si>
  <si>
    <t>Servicio de Salud Metropolitano Oriente</t>
  </si>
  <si>
    <t>Servicio de Salud Metropolitano Central</t>
  </si>
  <si>
    <t>Servicio de Salud Metropolitano Sur</t>
  </si>
  <si>
    <t>Servicio de Salud Metropolitano Norte</t>
  </si>
  <si>
    <t>Servicio de Salud Metropolitano Occidente</t>
  </si>
  <si>
    <t>Programa Contingencias Operacionales</t>
  </si>
  <si>
    <t>Centro de Referencia de Salud de Peñalolén Cordillera Oriente</t>
  </si>
  <si>
    <t>Servicio de Salud Chiloé</t>
  </si>
  <si>
    <t>MINISTERIO DE MINERÍA</t>
  </si>
  <si>
    <t>Fomento de la Pequeña y Mediana Minería</t>
  </si>
  <si>
    <t>Comisión Chilena del Cobre</t>
  </si>
  <si>
    <t>Servicio Nacional de Geología y Minería</t>
  </si>
  <si>
    <t>Red Nacional de Vigilancia Volcánica</t>
  </si>
  <si>
    <t>Plan Nacional de Geología</t>
  </si>
  <si>
    <t>Programa de Seguridad Minera</t>
  </si>
  <si>
    <t>Subsecretaría de Vivienda y Urbanismo</t>
  </si>
  <si>
    <t>Recuperación de Barrios</t>
  </si>
  <si>
    <t>Parque Metropolitano</t>
  </si>
  <si>
    <t>Secretaría y Administración General de Transportes</t>
  </si>
  <si>
    <t>Unidad Operativa de Control de Tránsito</t>
  </si>
  <si>
    <t>Programa de Desarrollo Logístico</t>
  </si>
  <si>
    <t>Programa de Vialidad y Transporte Urbano: Sectra</t>
  </si>
  <si>
    <t>Subsecretaría de Telecomunicaciones</t>
  </si>
  <si>
    <t>Junta de Aeronáutica Civil</t>
  </si>
  <si>
    <t>MINISTERIO SECRETARÍA GENERAL DE GOBIERNO</t>
  </si>
  <si>
    <t>Secretaría General de Gobierno</t>
  </si>
  <si>
    <t>Consejo Nacional de Televisión</t>
  </si>
  <si>
    <t>Instituto Nacional de Deportes</t>
  </si>
  <si>
    <t>Instituto Nacional de la Juventud</t>
  </si>
  <si>
    <t>Corporación Nacional de Desarrollo Indígena</t>
  </si>
  <si>
    <t>Servicio Nacional de la Discapacidad</t>
  </si>
  <si>
    <t>Servicio Nacional del Adulto Mayor</t>
  </si>
  <si>
    <t>MINISTERIO SECRETARÍA GENERAL DE LA PRESIDENCIA DE LA REPÚBLICA</t>
  </si>
  <si>
    <t>Secretaría General de la Presidencia de la República</t>
  </si>
  <si>
    <t>220104</t>
  </si>
  <si>
    <t>MINISTERIO PÚBLICO</t>
  </si>
  <si>
    <t>Ministerio Público</t>
  </si>
  <si>
    <t>MINISTERIO DE ENERGÍA</t>
  </si>
  <si>
    <t>Subsecretaría de Energía</t>
  </si>
  <si>
    <t>Programa Energización Rural y Social</t>
  </si>
  <si>
    <t>Comisión Nacional de Energía</t>
  </si>
  <si>
    <t>Comisión Chilena de Energía Nuclear</t>
  </si>
  <si>
    <t>Superintendencia de Electricidad y Combustibles</t>
  </si>
  <si>
    <t>Subsecretaría del Medio Ambiente</t>
  </si>
  <si>
    <t>Servicio de Evaluación Ambiental</t>
  </si>
  <si>
    <t>Superintendencia del Medio Ambiente</t>
  </si>
  <si>
    <t>NOMBRES</t>
  </si>
  <si>
    <t>051002</t>
  </si>
  <si>
    <t>051003</t>
  </si>
  <si>
    <t>Subsecretaría de Desarrollo Regional y Administrativo</t>
  </si>
  <si>
    <t>Instituto Nacional de Propiedad Industrial</t>
  </si>
  <si>
    <t>Instituto de Desarrollo Agropecuario</t>
  </si>
  <si>
    <t>Subsecretaría de Evaluación Social</t>
  </si>
  <si>
    <t>Subsecretaría de Servicios Sociales</t>
  </si>
  <si>
    <t>C_JURIDICA</t>
  </si>
  <si>
    <t>TABLA N°07</t>
  </si>
  <si>
    <t>Personal que se desempeña en un cargo de planta, como titular, suplente o subrogante</t>
  </si>
  <si>
    <t>PLANTA</t>
  </si>
  <si>
    <t>Personal que desempeña un cargo a contrata</t>
  </si>
  <si>
    <t>CONTRATA</t>
  </si>
  <si>
    <t>Personal contratado como Honorario asimilado a grado</t>
  </si>
  <si>
    <t>HAG</t>
  </si>
  <si>
    <t>CT</t>
  </si>
  <si>
    <t>Personal contratado como Jornal Permanente</t>
  </si>
  <si>
    <t>JP</t>
  </si>
  <si>
    <t>Calidad Jurídica o tipo de contrato</t>
  </si>
  <si>
    <t>Personal de la dotación</t>
  </si>
  <si>
    <t>Personal afecto al código del trabajo (excluye jornales permanentes)</t>
  </si>
  <si>
    <t>Personal fuera de dotación</t>
  </si>
  <si>
    <t>Personal contratado como Jornal Transitorio.</t>
  </si>
  <si>
    <t>JORNAL</t>
  </si>
  <si>
    <t>Personal contratado sobre la base de honorarios (excluye honorarios asimilados a grado).</t>
  </si>
  <si>
    <t>HONORARIO</t>
  </si>
  <si>
    <t>Personal a contrata que no se contabiliza en la dotación efectiva, por expresa autorización en glosa presupuestaria u otra ley (incluye personal de reemplazo)</t>
  </si>
  <si>
    <t>CONTRATA_FD</t>
  </si>
  <si>
    <t>Personal afecto al Código del Trabajo que no se contabiliza en la dotación efectiva, por expresa autorización en glosa presupuestaria u otra ley.</t>
  </si>
  <si>
    <t>CT_FD</t>
  </si>
  <si>
    <t>ADSCRITO</t>
  </si>
  <si>
    <t>Vigilantes Privados, contratados en virtud de la Ley N°18.382, artículo 48.</t>
  </si>
  <si>
    <t>VIGILANTE</t>
  </si>
  <si>
    <t>Becarios de los Servicios de Salud</t>
  </si>
  <si>
    <t>BECARIOS</t>
  </si>
  <si>
    <t>Personal contratado como suplente, que no se contabiliza en la dotación</t>
  </si>
  <si>
    <t>PLANTA_FD</t>
  </si>
  <si>
    <t>210101</t>
  </si>
  <si>
    <t>210901</t>
  </si>
  <si>
    <t>090201</t>
  </si>
  <si>
    <t>090301</t>
  </si>
  <si>
    <t>Agencia de Calidad de la Educación</t>
  </si>
  <si>
    <t>TABLA N°18</t>
  </si>
  <si>
    <t>TABLA N°15</t>
  </si>
  <si>
    <t>VALIDA ID_SERV</t>
  </si>
  <si>
    <t>13</t>
  </si>
  <si>
    <t>14</t>
  </si>
  <si>
    <r>
      <t xml:space="preserve">Informar para el primer trimestre, Licencias médicas o permisos postnatal parental </t>
    </r>
    <r>
      <rPr>
        <b/>
        <sz val="9"/>
        <color rgb="FF000000"/>
        <rFont val="Calibri"/>
        <family val="2"/>
        <scheme val="minor"/>
      </rPr>
      <t>con inicio en diciembre del año anterior</t>
    </r>
    <r>
      <rPr>
        <sz val="9"/>
        <color rgb="FF000000"/>
        <rFont val="Calibri"/>
        <family val="2"/>
        <scheme val="minor"/>
      </rPr>
      <t>, cuya situación actualizada se presenta en este informe.</t>
    </r>
  </si>
  <si>
    <t>Informar los casos iniciados en el año anterior, en meses diferentes a diciembre, pero cuya duración se encontraba o encuentra vigente en algún momento entre el 1 de enero y la fecha de cierre del informe.</t>
  </si>
  <si>
    <t>SIST_REM</t>
  </si>
  <si>
    <t>ESTAMENTO</t>
  </si>
  <si>
    <t>TABLA N°04</t>
  </si>
  <si>
    <t>Sistema de Remuneraciones</t>
  </si>
  <si>
    <t>EUS D.L N°249, DE 1974.</t>
  </si>
  <si>
    <t>Ley N°19.664 (Servicios de Salud).</t>
  </si>
  <si>
    <t>Personal área salud, Ley N°15.076.</t>
  </si>
  <si>
    <t>Fiscalizadores D.L N°3.551, de 1981.</t>
  </si>
  <si>
    <t>Poder Judicial D.L N°3.058 de 1979.</t>
  </si>
  <si>
    <t>Congreso Nacional, Ley N°18.918.</t>
  </si>
  <si>
    <t>Ministerio Público, Ley N°19.640.</t>
  </si>
  <si>
    <t>Entidades D.L. N°1.953, art. 9°, de 1977.</t>
  </si>
  <si>
    <t>D.F.L. N° 29, N° 30 y N° 31, todos de 2001 (Establecimientos de Salud Experimentales).</t>
  </si>
  <si>
    <t>Escala de las FFAA y de Orden y Seguridad Pública (D.F.L. N°1/1997 y D.F.L. N°2/1968).</t>
  </si>
  <si>
    <t>Código del Trabajo.</t>
  </si>
  <si>
    <t>Honorarios a suma alzada</t>
  </si>
  <si>
    <t>TABLA N°06</t>
  </si>
  <si>
    <t>Estamento según Sistema de Remuneraciones</t>
  </si>
  <si>
    <t>Servicios afectos a EUS, DL 1953, FFAA, Código del trabajo, Poder Legislativo</t>
  </si>
  <si>
    <t>10-40-60-70</t>
  </si>
  <si>
    <t>Personal nombrado como Autoridad de Gobierno (Presidente, Ministros, Subsecretarios, Intendentes, etc.).</t>
  </si>
  <si>
    <t>AUT. DE GOB.</t>
  </si>
  <si>
    <t>Jefe Superior del Servicio informante.</t>
  </si>
  <si>
    <t>JEFE SUP. DE SERVICIO</t>
  </si>
  <si>
    <t>Personal nombrado o contratado para desempeñarse como Directivo.</t>
  </si>
  <si>
    <t>DIRECTIVO</t>
  </si>
  <si>
    <t>Personal nombrado o contratado para desempeñarse en funciones profesionales.</t>
  </si>
  <si>
    <t>PROFESIONAL</t>
  </si>
  <si>
    <t>Personal nombrado o contratado para desempeñarse en funciones técnicas.</t>
  </si>
  <si>
    <t>TÉCNICO</t>
  </si>
  <si>
    <t>Personal nombrado o contratado para desempeñarse en funciones administrativas.</t>
  </si>
  <si>
    <t>ADMINISTRATIVO</t>
  </si>
  <si>
    <t>Personal nombrado o contratado para desempeñarse en funciones auxiliares.</t>
  </si>
  <si>
    <t>AUXILIAR</t>
  </si>
  <si>
    <t>Personal afecto a leyes Nos. 15.076 y 19.664</t>
  </si>
  <si>
    <t>11-12</t>
  </si>
  <si>
    <t>Personal afecto a las leyes Nos. 15.076 y 19.664.</t>
  </si>
  <si>
    <t>PERSONAL MÉDICO</t>
  </si>
  <si>
    <t>Jefe Superior del Servicio informante (personal de la escala B-C).</t>
  </si>
  <si>
    <t>Personal de la escala B-C nombrado para desempeñarse como Directivo.</t>
  </si>
  <si>
    <t>Personal de la escala B-C nombrado o contratado para desempeñarse en funciones profesionales.</t>
  </si>
  <si>
    <t>Personal de la escala B-C nombrado o contratado para desempeñarse en funciones técnicas.</t>
  </si>
  <si>
    <t>Personal de la escala B-C nombrado o contratado para desempeñarse en funciones administrativas.</t>
  </si>
  <si>
    <t>Personal de la escala B-C nombrado o contratado para desempeñarse en funciones auxiliares.</t>
  </si>
  <si>
    <t>Profesionales funcionarios Escala A.</t>
  </si>
  <si>
    <t>Fiscalizadores</t>
  </si>
  <si>
    <t>Personal nombrado o contratado para desempeñarse en funciones fiscalizadoras.</t>
  </si>
  <si>
    <t>FISCALIZADOR</t>
  </si>
  <si>
    <t>Personal nombrado o contratado para desempeñarse en funciones de jefatura.</t>
  </si>
  <si>
    <t>JEFATURA</t>
  </si>
  <si>
    <t>Personal del Escalafón Superior.</t>
  </si>
  <si>
    <t>ESC. SUPERIOR</t>
  </si>
  <si>
    <t>Personal que se desempeña en el escalafón de Asistentes Sociales.</t>
  </si>
  <si>
    <t>ASISTENTES SOCIALES</t>
  </si>
  <si>
    <t>Personal del Escalafón de Empleados.</t>
  </si>
  <si>
    <t>ESC. EMPLEADOS</t>
  </si>
  <si>
    <t>Personal nombrado o contratado para desempeñarse como Fiscal.</t>
  </si>
  <si>
    <t>FISCAL</t>
  </si>
  <si>
    <t>Personal fuera de dotación de cualquier institución</t>
  </si>
  <si>
    <t>Personal cuya función se puede asimilar a la Directiva.</t>
  </si>
  <si>
    <t>Personal cuya función se puede asimilar a la profesional.</t>
  </si>
  <si>
    <t>Personal cuya función se puede asimilar a la fiscalizadora.</t>
  </si>
  <si>
    <t>Personal cuya función se puede asimilar a la técnica.</t>
  </si>
  <si>
    <t>Personal cuya función se puede asimilar a la de jefatura.</t>
  </si>
  <si>
    <t>Personal cuya función se puede asimilar a la administrativa.</t>
  </si>
  <si>
    <t>Personal cuya función se puede asimilar a la auxiliar.</t>
  </si>
  <si>
    <t>Personal cuya función se puede asimilar a la del personal médico.</t>
  </si>
  <si>
    <r>
      <rPr>
        <b/>
        <sz val="10"/>
        <color indexed="8"/>
        <rFont val="Calibri"/>
        <family val="2"/>
        <scheme val="minor"/>
      </rPr>
      <t>NOMBRE DE SERVICIO</t>
    </r>
    <r>
      <rPr>
        <b/>
        <sz val="9"/>
        <color indexed="8"/>
        <rFont val="Arial"/>
        <family val="2"/>
      </rPr>
      <t xml:space="preserve">
</t>
    </r>
    <r>
      <rPr>
        <sz val="7"/>
        <color indexed="8"/>
        <rFont val="Calibri"/>
        <family val="2"/>
        <scheme val="minor"/>
      </rPr>
      <t>(Según BD Servicios)</t>
    </r>
  </si>
  <si>
    <t>130409</t>
  </si>
  <si>
    <t>Laboratorios</t>
  </si>
  <si>
    <t>220105</t>
  </si>
  <si>
    <t>NC</t>
  </si>
  <si>
    <t>No Corresponde</t>
  </si>
  <si>
    <t>APELACIÓN</t>
  </si>
  <si>
    <t>ER_2</t>
  </si>
  <si>
    <t>DIAS_AUT</t>
  </si>
  <si>
    <t>051004</t>
  </si>
  <si>
    <t>Bomberos de Chile</t>
  </si>
  <si>
    <t>Subsecretaría de Pesca y Acuicultura</t>
  </si>
  <si>
    <t>Servicio Nacional de Pesca y Acuicultura</t>
  </si>
  <si>
    <t>Servicio de Registro Civil e Identificación</t>
  </si>
  <si>
    <t>Subsidio Nacional al Transporte Público</t>
  </si>
  <si>
    <t>210105</t>
  </si>
  <si>
    <t>Ingreso Ético Familiar y Sistema Chile Solidario</t>
  </si>
  <si>
    <t>Mujer y Trabajo</t>
  </si>
  <si>
    <t>240105</t>
  </si>
  <si>
    <t>Plan de Acción de Eficiencia Energética</t>
  </si>
  <si>
    <t>260101</t>
  </si>
  <si>
    <t>MINISTERIO DEL DEPORTE</t>
  </si>
  <si>
    <t>Subsecretaría del Deporte</t>
  </si>
  <si>
    <t>260201</t>
  </si>
  <si>
    <t>260202</t>
  </si>
  <si>
    <t>SEXO</t>
  </si>
  <si>
    <t>030102</t>
  </si>
  <si>
    <t>050505</t>
  </si>
  <si>
    <t>Transferencias a Gobiernos Regionales</t>
  </si>
  <si>
    <t>072501</t>
  </si>
  <si>
    <t>Superintendencia de Insolvencia y Reemprendimiento</t>
  </si>
  <si>
    <t>Fortalecimiento de la Educación Escolar Pública</t>
  </si>
  <si>
    <t>Superintendencia de Educación</t>
  </si>
  <si>
    <t>Organismos de Salud del Ejército</t>
  </si>
  <si>
    <t>Organismos de Industria Militar</t>
  </si>
  <si>
    <t>140103</t>
  </si>
  <si>
    <t>Regularización de la Propiedad Raíz</t>
  </si>
  <si>
    <t>140104</t>
  </si>
  <si>
    <t>Administración de Bienes</t>
  </si>
  <si>
    <t>140105</t>
  </si>
  <si>
    <t>Catastro</t>
  </si>
  <si>
    <t>Subsecretaría de Previsión Social</t>
  </si>
  <si>
    <t>Instituto de Previsión Social</t>
  </si>
  <si>
    <t>Caja de Previsión de la Defensa Nacional</t>
  </si>
  <si>
    <t>Servicio de Salud Valparaíso - San Antonio</t>
  </si>
  <si>
    <t>Fondo de Solidaridad e Inversión Social</t>
  </si>
  <si>
    <t>Fondo Nacional para el Fomento del Deporte</t>
  </si>
  <si>
    <t>090401</t>
  </si>
  <si>
    <t>Subsecretaría de Educación Parvularia</t>
  </si>
  <si>
    <t>270101</t>
  </si>
  <si>
    <t>MINISTERIO DE LA MUJER Y LA EQUIDAD DE GÉNERO</t>
  </si>
  <si>
    <t>Subsecretaría de la Mujer y la Equidad de Género</t>
  </si>
  <si>
    <t>270201</t>
  </si>
  <si>
    <t>270202</t>
  </si>
  <si>
    <t>270203</t>
  </si>
  <si>
    <t>MATRIZ BASE</t>
  </si>
  <si>
    <t>Matriz Base</t>
  </si>
  <si>
    <t>D</t>
  </si>
  <si>
    <t>H</t>
  </si>
  <si>
    <t>C</t>
  </si>
  <si>
    <t>MATRIZ_BASE</t>
  </si>
  <si>
    <t>TABLA N°27</t>
  </si>
  <si>
    <t>Persona con un cargo en la dotación del servicio, en funciones a la fecha de corte del informe, que fue declarada en la matriz D correspondiente.</t>
  </si>
  <si>
    <t>Persona que desempeña una suplencia o reemplazo fuera de dotación, y se encuentra en funciones a la fecha de corte del informe, que fue declarada en la matriz S correspondiente.</t>
  </si>
  <si>
    <t>Persona que desempeña otro cargo fuera de dotación y se encuentra en funciones a la fecha de corte del informe, que fue declarada en la matriz H correspondiente.</t>
  </si>
  <si>
    <t>Persona que desempeñó un cargo de la dotación o fuera de dotación y que cesó durante el período informado, siendo declarada en la matriz C correspondiente</t>
  </si>
  <si>
    <t>Persona que se desempeña o desempeñó en comisión de servicio en la institución informante durante el período.</t>
  </si>
  <si>
    <t>CS</t>
  </si>
  <si>
    <t>Persona que durante el período informado guardó reserva de su cargo titular, para desempeñarse en otro cargo fuera de la institución informante, según situación a la fecha de cierre del informe.</t>
  </si>
  <si>
    <t>CR</t>
  </si>
  <si>
    <t>070600_4002</t>
  </si>
  <si>
    <t>070600_4008</t>
  </si>
  <si>
    <t>070600_4014</t>
  </si>
  <si>
    <t>070600_1400</t>
  </si>
  <si>
    <t>100601</t>
  </si>
  <si>
    <t>Subsecretaría de Derechos Humanos</t>
  </si>
  <si>
    <t>Servicio Nacional de la Mujer y la Equidad de Género</t>
  </si>
  <si>
    <t>280101</t>
  </si>
  <si>
    <t>Profesionales de la Educación, Ley N°19.070</t>
  </si>
  <si>
    <t>Asistentes de la Educación, Ley 19.464</t>
  </si>
  <si>
    <t>Unidades de Apoyo a Tribunales</t>
  </si>
  <si>
    <t>Gobierno Regional Región Ñuble</t>
  </si>
  <si>
    <t>070702</t>
  </si>
  <si>
    <t>070903</t>
  </si>
  <si>
    <t>Agencia de Promoción de la Inversión Extranjera</t>
  </si>
  <si>
    <t>080108</t>
  </si>
  <si>
    <t>080109</t>
  </si>
  <si>
    <t>Programa Exportación de Servicios</t>
  </si>
  <si>
    <t>Desarrollo Profesional Docente y Directivo</t>
  </si>
  <si>
    <t>Dirección de Educación Pública</t>
  </si>
  <si>
    <t>Apoyo a la Implementación de los Servicios Locales de Educación</t>
  </si>
  <si>
    <t>Programa de Concesiones Ministerio de Justicia</t>
  </si>
  <si>
    <t>Gobierno Digital</t>
  </si>
  <si>
    <t>290101</t>
  </si>
  <si>
    <t>Subsecretaría de las Culturas y las Artes</t>
  </si>
  <si>
    <t>290102</t>
  </si>
  <si>
    <t>290201</t>
  </si>
  <si>
    <t>Subsecretaría del Patrimonio Cultural</t>
  </si>
  <si>
    <t>290301</t>
  </si>
  <si>
    <t>Servicio Nacional del Patrimonio Cultural</t>
  </si>
  <si>
    <t>290302</t>
  </si>
  <si>
    <t>290303</t>
  </si>
  <si>
    <t>Consejo de Monumentos Nacionales</t>
  </si>
  <si>
    <t>090101</t>
  </si>
  <si>
    <t>091701</t>
  </si>
  <si>
    <t>091702</t>
  </si>
  <si>
    <t>091703</t>
  </si>
  <si>
    <t>080107</t>
  </si>
  <si>
    <t>083101</t>
  </si>
  <si>
    <t>Comisión para el Mercado Financiero</t>
  </si>
  <si>
    <t>Ley SANNA, contingencia A</t>
  </si>
  <si>
    <t>Ley SANNA, contingencia B</t>
  </si>
  <si>
    <t>Ley SANNA, contingencia C</t>
  </si>
  <si>
    <t>Ley SANNA, contingencia D</t>
  </si>
  <si>
    <t>211001</t>
  </si>
  <si>
    <t>211002</t>
  </si>
  <si>
    <t>LGN</t>
  </si>
  <si>
    <t>Personal Adscrito</t>
  </si>
  <si>
    <t>Personal liberado de guardia, según el artículo 44° de la Ley N° 15.076 y Ley 19.230, aplicable sólo a profesionales funcionarios de las Unidades de Emergencia, UCI y Maternidades de los Servicios de Salud y Establecimientos de carácter experimental.</t>
  </si>
  <si>
    <t>CONTINUIDAD</t>
  </si>
  <si>
    <t>DERECHO_SUBS</t>
  </si>
  <si>
    <t>MONTO_SUBS</t>
  </si>
  <si>
    <t>ESTADO_REC</t>
  </si>
  <si>
    <t>N_DIAS_REC</t>
  </si>
  <si>
    <t>MONTO_REC</t>
  </si>
  <si>
    <t>MONTO_COT</t>
  </si>
  <si>
    <t>TABLA N°33</t>
  </si>
  <si>
    <t>Estado de recuperación de subsidios</t>
  </si>
  <si>
    <t xml:space="preserve">Descripción </t>
  </si>
  <si>
    <t>Total</t>
  </si>
  <si>
    <t>TOT</t>
  </si>
  <si>
    <t>Parcial</t>
  </si>
  <si>
    <t>PAR</t>
  </si>
  <si>
    <t xml:space="preserve">No Recupera </t>
  </si>
  <si>
    <t>SDR</t>
  </si>
  <si>
    <t>En Trámite</t>
  </si>
  <si>
    <t>PEN</t>
  </si>
  <si>
    <t>Accidente del trabajo o del trayecto (extendido por prestador salud)</t>
  </si>
  <si>
    <t>5A</t>
  </si>
  <si>
    <t>Accidente del trabajo o del trayecto (extendido por organismos administradores seguro accidentes del trabajo y enfermedades profesionales)</t>
  </si>
  <si>
    <t>5B</t>
  </si>
  <si>
    <t>Enfermedad Profesional (extendido por prestador salud)</t>
  </si>
  <si>
    <t>6A</t>
  </si>
  <si>
    <t>Enfermedad Profesional (extendido por organismos administradores seguro accidentes del trabajo y enfermedades profesionales)</t>
  </si>
  <si>
    <t>6B</t>
  </si>
  <si>
    <t>Permiso Postnatal parental</t>
  </si>
  <si>
    <r>
      <rPr>
        <b/>
        <sz val="10"/>
        <color indexed="12"/>
        <rFont val="Calibri"/>
        <family val="2"/>
      </rPr>
      <t>FORMATO TEXTO</t>
    </r>
    <r>
      <rPr>
        <sz val="9"/>
        <rFont val="Calibri"/>
        <family val="2"/>
      </rPr>
      <t xml:space="preserve">
</t>
    </r>
    <r>
      <rPr>
        <sz val="7"/>
        <rFont val="Calibri"/>
        <family val="2"/>
      </rPr>
      <t>(Copiar columna VALIDA ID_SERV y pegar valores, luego copiar todo y pegar en columna ID_SERV desde la Celda 2)</t>
    </r>
  </si>
  <si>
    <t>Personal nombrado o contratado para desempeñarse en funciones profesores</t>
  </si>
  <si>
    <t>PROFESOR</t>
  </si>
  <si>
    <t>Personal nombrado o contratado para desempeñarse en funciones técnicos</t>
  </si>
  <si>
    <t xml:space="preserve">Profesor </t>
  </si>
  <si>
    <t>PROF_PED</t>
  </si>
  <si>
    <t>Tecnico</t>
  </si>
  <si>
    <t>TEC_PED</t>
  </si>
  <si>
    <t>sist_rem  Personal Jardines Infantiles (Exclusivo SLE)</t>
  </si>
  <si>
    <t>sist_rem  Asistentes de la Educación</t>
  </si>
  <si>
    <t>sist_rem  Profesionales de la Educación, Ley N°19.070</t>
  </si>
  <si>
    <t>Personal Jardines Infantiles (Exclusivo SLE)</t>
  </si>
  <si>
    <t>MINISTERIO DEL INTERIOR Y SEGURIDAD PÚBLICA</t>
  </si>
  <si>
    <t>Programas de Desarrollo Local</t>
  </si>
  <si>
    <t>Gobierno Regional Región de Tarapacá</t>
  </si>
  <si>
    <t>Gobierno Regional Región de Antofagasta</t>
  </si>
  <si>
    <t>Gobierno Regional Región de Atacama</t>
  </si>
  <si>
    <t>Gobierno Regional Región de Coquimbo</t>
  </si>
  <si>
    <t>Gobierno Regional Región de Valparaíso</t>
  </si>
  <si>
    <t>Gobierno Regional Región del Maule</t>
  </si>
  <si>
    <t>Gobierno Regional Región del Biobío</t>
  </si>
  <si>
    <t>Gobierno Regional Región de la Araucanía</t>
  </si>
  <si>
    <t>Gobierno Regional Región de Los Lagos</t>
  </si>
  <si>
    <t>Gobierno Regional Región de Aysén del General Carlos Ibañez del Campo</t>
  </si>
  <si>
    <t>Gobierno Regional Región de Magallanes y la Antártica Chilena</t>
  </si>
  <si>
    <t>Gobierno Regional Región de Los Ríos</t>
  </si>
  <si>
    <t>Gobierno Regional Región de Arica y Parinacota</t>
  </si>
  <si>
    <t>060601</t>
  </si>
  <si>
    <t>060701</t>
  </si>
  <si>
    <t>Comité Desarrollo Productivo Regional de Antofagasta</t>
  </si>
  <si>
    <t>Comité Desarrollo Productivo Regional de Biobío</t>
  </si>
  <si>
    <t>Comité Desarrollo Productivo Regional de Los Rios</t>
  </si>
  <si>
    <t>Comité Agencia de Fomento de la Producción Sustentable</t>
  </si>
  <si>
    <t>Programa Censos</t>
  </si>
  <si>
    <t>072601</t>
  </si>
  <si>
    <t>Unidad Administradora de los Tribunales Tributarios y Aduaneros</t>
  </si>
  <si>
    <t>080202</t>
  </si>
  <si>
    <t>Sistema de Gestión Financiera del Estado</t>
  </si>
  <si>
    <t>099001</t>
  </si>
  <si>
    <t>099101</t>
  </si>
  <si>
    <t>Superintendencia de Educación Superior</t>
  </si>
  <si>
    <t>MINISTERIO DE JUSTICIA Y DERECHOS HUMANOS</t>
  </si>
  <si>
    <t>Dirección General del Territorio Marítimo</t>
  </si>
  <si>
    <t>120301</t>
  </si>
  <si>
    <t>Dirección General de Concesiones de Obras Públicas</t>
  </si>
  <si>
    <t>Asentamientos Precarios</t>
  </si>
  <si>
    <t>Serviu Región de Tarapacá</t>
  </si>
  <si>
    <t>Serviu Región de Antofagasta</t>
  </si>
  <si>
    <t>Serviu Región de Atacama</t>
  </si>
  <si>
    <t>Serviu Región de Coquimbo</t>
  </si>
  <si>
    <t>Serviu Región de Valparaíso</t>
  </si>
  <si>
    <t>Serviu Región del Libertador General Bernardo O'Higgins</t>
  </si>
  <si>
    <t>Serviu Región del Maule</t>
  </si>
  <si>
    <t>Serviu Región del Biobío</t>
  </si>
  <si>
    <t>Serviu Región de la Araucanía</t>
  </si>
  <si>
    <t>Serviu Región de Los Lagos</t>
  </si>
  <si>
    <t>Serviu Región Metropolitana de Santiago</t>
  </si>
  <si>
    <t>Serviu Región de Los Ríos</t>
  </si>
  <si>
    <t>Serviu Región de Arica y Parinacota</t>
  </si>
  <si>
    <t>183601</t>
  </si>
  <si>
    <t>Subsecretaría de la Niñez</t>
  </si>
  <si>
    <t>300101</t>
  </si>
  <si>
    <t>MINISTERIO DE CIENCIA, TECNOLOGÍA, CONOCIMIENTO E INNOVACIÓN</t>
  </si>
  <si>
    <t>099002</t>
  </si>
  <si>
    <t>099003</t>
  </si>
  <si>
    <t>Educación Superior</t>
  </si>
  <si>
    <t>300102</t>
  </si>
  <si>
    <t>300201</t>
  </si>
  <si>
    <t>Agencia Nacional de Investigación y Desarrollo</t>
  </si>
  <si>
    <t>300202</t>
  </si>
  <si>
    <t xml:space="preserve">Propiedad Minera </t>
  </si>
  <si>
    <t xml:space="preserve">Cierre Faenas y Gestión Ambiental </t>
  </si>
  <si>
    <t xml:space="preserve">Geología Aplicada </t>
  </si>
  <si>
    <t xml:space="preserve">Laboratorio </t>
  </si>
  <si>
    <t xml:space="preserve">Depósitos de Relaves </t>
  </si>
  <si>
    <t>170301_1</t>
  </si>
  <si>
    <t>170301_2</t>
  </si>
  <si>
    <t>170301_3</t>
  </si>
  <si>
    <t>170301_4</t>
  </si>
  <si>
    <t>170301_5</t>
  </si>
  <si>
    <t>AMPLIADO</t>
  </si>
  <si>
    <t>Ampliado</t>
  </si>
  <si>
    <t>Personal nombrado o contratado para desempeñarse como Educador de Párvulo en jardines infantiles dependientes de los SLE</t>
  </si>
  <si>
    <t>Personal nombrado o contratado para desempeñarse como técnico en párvulo en jardines infantiles dependientes de los SLE</t>
  </si>
  <si>
    <t>Personal nombrado o contratado para desempeñarse como profesionales de gestion en jardines infantiles dependientes de la JUNJI</t>
  </si>
  <si>
    <t>PROF_GESTION</t>
  </si>
  <si>
    <t>Personal nombrado o contratado para desempeñarse como profesionales encargados de supervision en jardines infantiles dependientes de la JUNJI</t>
  </si>
  <si>
    <t>PROF_SUPER</t>
  </si>
  <si>
    <t>020402</t>
  </si>
  <si>
    <t>112402</t>
  </si>
  <si>
    <t>160205</t>
  </si>
  <si>
    <t>Servicio Nacional de Geología y Minería - Propiedad Minera</t>
  </si>
  <si>
    <t xml:space="preserve">Servicio Nacional de Geología y Minería - Cierre Faenas y Gestión Ambiental </t>
  </si>
  <si>
    <t xml:space="preserve">Servicio Nacional de Geología y Minería - Geología Aplicada </t>
  </si>
  <si>
    <t xml:space="preserve">Servicio Nacional de Geología y Minería - Laboratorio </t>
  </si>
  <si>
    <t xml:space="preserve">Servicio Nacional de Geología y Minería - Depósitos de Relaves </t>
  </si>
  <si>
    <t>Laboratorio de Gobierno</t>
  </si>
  <si>
    <t>300103</t>
  </si>
  <si>
    <t>Secretaría Ejecutiva Consejo Nacional de CTCI</t>
  </si>
  <si>
    <t>Defensoría del Contribuyente</t>
  </si>
  <si>
    <t>211101</t>
  </si>
  <si>
    <t>Servicio Nacional de Protección Especializada a la Niñez y Adolescencia</t>
  </si>
  <si>
    <t>300203</t>
  </si>
  <si>
    <t>Capacidades Tecnológicas</t>
  </si>
  <si>
    <t>053501</t>
  </si>
  <si>
    <t>Servicio Nacional de Migraciones</t>
  </si>
  <si>
    <t>080111</t>
  </si>
  <si>
    <t>210203</t>
  </si>
  <si>
    <t>210204</t>
  </si>
  <si>
    <t>211102</t>
  </si>
  <si>
    <t>290304</t>
  </si>
  <si>
    <t>Subsecretaría de Ciencia, Tecnología, Conocimiento e Innovación</t>
  </si>
  <si>
    <t>Servicio de Salud Arica y Parinacota</t>
  </si>
  <si>
    <t>Servicio de Salud Tarapacá</t>
  </si>
  <si>
    <t>Servicio de Salud Aysén</t>
  </si>
  <si>
    <t>310101_61</t>
  </si>
  <si>
    <t>GOBIERNOS REGIONALES</t>
  </si>
  <si>
    <t>310101_62</t>
  </si>
  <si>
    <t>310101_63</t>
  </si>
  <si>
    <t>310101_64</t>
  </si>
  <si>
    <t>310101_65</t>
  </si>
  <si>
    <t>310101_66</t>
  </si>
  <si>
    <t>Gobierno Regional Región del Libertador General Bernardo O’Higgins</t>
  </si>
  <si>
    <t>310101_67</t>
  </si>
  <si>
    <t>310101_68</t>
  </si>
  <si>
    <t>310101_69</t>
  </si>
  <si>
    <t>310101_70</t>
  </si>
  <si>
    <t>310101_71</t>
  </si>
  <si>
    <t>310101_72</t>
  </si>
  <si>
    <t>310101_73</t>
  </si>
  <si>
    <t>310101_74</t>
  </si>
  <si>
    <t>310101_75</t>
  </si>
  <si>
    <t>310101_76</t>
  </si>
  <si>
    <t>070606</t>
  </si>
  <si>
    <t>070607</t>
  </si>
  <si>
    <t>Inversión y Financiamiento</t>
  </si>
  <si>
    <t>Desarrollo Productivo Sostenible</t>
  </si>
  <si>
    <t>101001</t>
  </si>
  <si>
    <t>Servicio Nacional de Reinserción Social Juvenil</t>
  </si>
  <si>
    <t>070600_4074</t>
  </si>
  <si>
    <t>240106</t>
  </si>
  <si>
    <t>Transición Energética Justa</t>
  </si>
  <si>
    <t>250102</t>
  </si>
  <si>
    <t>Adaptación y Mitigación para el Cambio Climático</t>
  </si>
  <si>
    <t>270102</t>
  </si>
  <si>
    <t>020101_1</t>
  </si>
  <si>
    <t>020101_2</t>
  </si>
  <si>
    <t>Comité de Auditoría Parlamentaria</t>
  </si>
  <si>
    <t>Servicio Nacional de Prevención y Respuesta Ante Desastres</t>
  </si>
  <si>
    <t>Servicio Nacional para Prevención y Rehabilitación Consumo de Drogas y</t>
  </si>
  <si>
    <t>Alcohol</t>
  </si>
  <si>
    <t>Agencia Chilena de Cooperación Internacional para el Desarrollo</t>
  </si>
  <si>
    <t>Subsecretaría de Relaciones Económicas Internacionales</t>
  </si>
  <si>
    <t>Dirección General de Promoción de Exportaciones</t>
  </si>
  <si>
    <t>Fondo de Innovación para la Competitividad - Emprendimiento</t>
  </si>
  <si>
    <t>070113</t>
  </si>
  <si>
    <t>Programa de Atracción Turística</t>
  </si>
  <si>
    <t>Instituto Nacional Desarrollo Sustentable Pesca Artesanal y Acuicultura</t>
  </si>
  <si>
    <t>Secretaría y Administración General</t>
  </si>
  <si>
    <t>Sistema Integrado de Comercio Exterior</t>
  </si>
  <si>
    <t>Secretaría de Modernización del Estado</t>
  </si>
  <si>
    <t>083301</t>
  </si>
  <si>
    <t>Programas Alternativos de Enseñanza Pre-escolar</t>
  </si>
  <si>
    <t>Subsecretaría de Educación Superior</t>
  </si>
  <si>
    <t>Fortalecimiento de la Educación Superior Pública</t>
  </si>
  <si>
    <t>101002</t>
  </si>
  <si>
    <t>Centros de Reinserción Social Juvenil de Administración Directa</t>
  </si>
  <si>
    <t>110902</t>
  </si>
  <si>
    <t>Programa Fidae</t>
  </si>
  <si>
    <t>Organismos de Salud de la Fach</t>
  </si>
  <si>
    <t>Servicio Aerofotogramétrico de la Fach</t>
  </si>
  <si>
    <t>Academia Nacional de Estudios Políticos y Estratégicos</t>
  </si>
  <si>
    <t>120209</t>
  </si>
  <si>
    <t>120210</t>
  </si>
  <si>
    <t>Fiscalía Ministerio de Obras Públicas</t>
  </si>
  <si>
    <t>Subdirección de Servicios Sanitarios Rurales</t>
  </si>
  <si>
    <t>120213</t>
  </si>
  <si>
    <t>120214</t>
  </si>
  <si>
    <t>Infraestructura para el Buen Vivir</t>
  </si>
  <si>
    <t>120223</t>
  </si>
  <si>
    <t>Administración de Infraestructuras - Dirección de Obras Hidráulicas</t>
  </si>
  <si>
    <t>120224</t>
  </si>
  <si>
    <t>Administración de Infraestructuras - Dirección de Vialidad</t>
  </si>
  <si>
    <t>120234</t>
  </si>
  <si>
    <t>Conservaciones por Administración Directa - Dirección de Vialidad</t>
  </si>
  <si>
    <t>120237</t>
  </si>
  <si>
    <t>Conservaciones por Administración Directa - Dirección de Aeropuertos</t>
  </si>
  <si>
    <t>120402</t>
  </si>
  <si>
    <t>Administración de Infraestructuras - Dirección General de Aguas</t>
  </si>
  <si>
    <t>MINISTERIO DEL TRABAJO Y PREVISIÓN SOCIAL</t>
  </si>
  <si>
    <t>150504</t>
  </si>
  <si>
    <t>Servicio Nacional de Capacitación y Empleo - Empleo</t>
  </si>
  <si>
    <t>Financiamiento Hospitales por Grupo Relacionado de Diagnóstico</t>
  </si>
  <si>
    <t>Central de Abastecimiento del Sistema Nacional de Servicios de Salud</t>
  </si>
  <si>
    <t>Servicio de Salud O'Higgins</t>
  </si>
  <si>
    <t>Servicio de Salud Bíobío</t>
  </si>
  <si>
    <t>Servicio de Salud Los Ríos</t>
  </si>
  <si>
    <t>Servicio de Salud Metropolitano Sur-oriente</t>
  </si>
  <si>
    <t>Centro de Referencia de Salud de Maipú</t>
  </si>
  <si>
    <t>180106</t>
  </si>
  <si>
    <t>Plan de Emergencia Habitacional</t>
  </si>
  <si>
    <t>Serviu Región de Aysén del General Carlos Ibáñez del Campo</t>
  </si>
  <si>
    <t>Serviu Región de Magallanes y de la Antártica Chilena</t>
  </si>
  <si>
    <t>Serviu Región de Ñuble</t>
  </si>
  <si>
    <t>Red Movilidad</t>
  </si>
  <si>
    <t>Fiscalización y Centro Automatizado de Infracciones</t>
  </si>
  <si>
    <t>190109</t>
  </si>
  <si>
    <t>Seguridad y Centro de Control Vehicular</t>
  </si>
  <si>
    <t>MINISTERIO DE DESARROLLO SOCIAL Y FAMILIA</t>
  </si>
  <si>
    <t>210108</t>
  </si>
  <si>
    <t>Sistema Nacional de Cuidados</t>
  </si>
  <si>
    <t>Programas de Generación de Ingresos Autónomos</t>
  </si>
  <si>
    <t>Programas de Acompañamiento Familiar y Comunitario</t>
  </si>
  <si>
    <t>Sistema de Protección Integral a la Infancia</t>
  </si>
  <si>
    <t>Programas de Cuidado Alternativo de Administracion Directa</t>
  </si>
  <si>
    <t>220109</t>
  </si>
  <si>
    <t>Plan Buen Vivir</t>
  </si>
  <si>
    <t>220110</t>
  </si>
  <si>
    <t>Comisión para la Paz y el Entendimiento</t>
  </si>
  <si>
    <t>Apoyo al Desarrollo de Energías Renovables No Convencionales</t>
  </si>
  <si>
    <t>260203</t>
  </si>
  <si>
    <t>Gestión de Recintos Deportivos</t>
  </si>
  <si>
    <t>260204</t>
  </si>
  <si>
    <t>Deporte y Participación Social</t>
  </si>
  <si>
    <t>260205</t>
  </si>
  <si>
    <t>Crecer en Movimiento</t>
  </si>
  <si>
    <t>Fondo para la Igualdad</t>
  </si>
  <si>
    <t>Prevención y Atención de Violencia Contra las Mujeres</t>
  </si>
  <si>
    <t>MINISTERIO DE LAS CULTURAS, LAS ARTES Y EL PATRIMONIO</t>
  </si>
  <si>
    <t>290103</t>
  </si>
  <si>
    <t>Instituciones Colaboradoras en el Acceso al Arte y la Cultura</t>
  </si>
  <si>
    <t>290104</t>
  </si>
  <si>
    <t>Fomento a las Organizaciones y al Desarrollo Cultural</t>
  </si>
  <si>
    <t>290105</t>
  </si>
  <si>
    <t>Formación Artística Temprana</t>
  </si>
  <si>
    <t>Red de Bibliotecas Públicas</t>
  </si>
  <si>
    <t>Museos Nacionales y Regionales</t>
  </si>
  <si>
    <t>290305</t>
  </si>
  <si>
    <t>Fomento del Acceso al Patrimonio y Apoyo a Organizaciones Patrimoniales</t>
  </si>
  <si>
    <t>Fondo de Innovación, Ciencia y Tecnología</t>
  </si>
  <si>
    <t>Iniciativa Científica Milenio</t>
  </si>
  <si>
    <t>500101</t>
  </si>
  <si>
    <t>TESORO PÚBLICO</t>
  </si>
  <si>
    <t>FISCO</t>
  </si>
  <si>
    <t>Ingresos Generales de la Nación</t>
  </si>
  <si>
    <t>500102</t>
  </si>
  <si>
    <t>Subsidios</t>
  </si>
  <si>
    <t>500103</t>
  </si>
  <si>
    <t>Operaciones Complementarias</t>
  </si>
  <si>
    <t>500104</t>
  </si>
  <si>
    <t>Servicio de la Deuda Pública</t>
  </si>
  <si>
    <t>500105</t>
  </si>
  <si>
    <t>Aporte Fiscal Libre</t>
  </si>
  <si>
    <t>500106</t>
  </si>
  <si>
    <t>Fondo de Reserva de Pensiones</t>
  </si>
  <si>
    <t>500107</t>
  </si>
  <si>
    <t>Fondo de Estabilización Económica y Social</t>
  </si>
  <si>
    <t>500108</t>
  </si>
  <si>
    <t>Fondo para la Educación</t>
  </si>
  <si>
    <t>500109</t>
  </si>
  <si>
    <t>Fondo de Apoyo Regional</t>
  </si>
  <si>
    <t>500110</t>
  </si>
  <si>
    <t>Fondo para Diagnósticos y Tratamientos de Alto Costo</t>
  </si>
  <si>
    <t>500111</t>
  </si>
  <si>
    <t>Empresas y Sociedades del Estado</t>
  </si>
  <si>
    <t>500112</t>
  </si>
  <si>
    <t>Fondo de Contingencia Estratégico</t>
  </si>
  <si>
    <t>Agencia Nacional de Ciberseguridad</t>
  </si>
  <si>
    <t>151101</t>
  </si>
  <si>
    <t>Servicio de Biodiversidad y Áreas Protegidas</t>
  </si>
  <si>
    <t>250401</t>
  </si>
  <si>
    <t>APELLIDO_1</t>
  </si>
  <si>
    <t>APELLIDO_2</t>
  </si>
  <si>
    <t>CAT_TEMP</t>
  </si>
  <si>
    <t>MONTO REC+MONTO_COT</t>
  </si>
  <si>
    <t>Total N° días licencia</t>
  </si>
  <si>
    <t>M</t>
  </si>
  <si>
    <t>Mujeres</t>
  </si>
  <si>
    <t>DIAS LICENCIA</t>
  </si>
  <si>
    <t>RANGO</t>
  </si>
  <si>
    <t>CAT_2</t>
  </si>
  <si>
    <t>ID_TEMP</t>
  </si>
  <si>
    <t>Suma de dias de licencia</t>
  </si>
  <si>
    <t>Cuentas numero de licencias</t>
  </si>
  <si>
    <t>Suma de MONTO_REC+MONTO_COT</t>
  </si>
  <si>
    <t>Cuenta licencias médicas reembolsadas</t>
  </si>
  <si>
    <t>Hombres y No Binario</t>
  </si>
  <si>
    <t>[hasta 3]</t>
  </si>
  <si>
    <t>H_1</t>
  </si>
  <si>
    <t>X</t>
  </si>
  <si>
    <t>[4 a 10]</t>
  </si>
  <si>
    <t>H_2</t>
  </si>
  <si>
    <t>[11 +]</t>
  </si>
  <si>
    <t>H_3</t>
  </si>
  <si>
    <t>H_4</t>
  </si>
  <si>
    <t>H_5A</t>
  </si>
  <si>
    <t>H_5B</t>
  </si>
  <si>
    <t>Categoria</t>
  </si>
  <si>
    <t>H_6A</t>
  </si>
  <si>
    <t>Hombre licencia tipo 1</t>
  </si>
  <si>
    <t>H_6B</t>
  </si>
  <si>
    <t>Hombre licencia tipo 2</t>
  </si>
  <si>
    <t>H_7</t>
  </si>
  <si>
    <t>Hombre licencia tipo 3</t>
  </si>
  <si>
    <t>H_8</t>
  </si>
  <si>
    <t>Hombre licencia tipo 4</t>
  </si>
  <si>
    <t>H_9</t>
  </si>
  <si>
    <t>Hombre licencia tipo 5A</t>
  </si>
  <si>
    <t>H_10</t>
  </si>
  <si>
    <t>Hombre licencia tipo 5B</t>
  </si>
  <si>
    <t>H_11</t>
  </si>
  <si>
    <t>Hombre licencia tipo 6A</t>
  </si>
  <si>
    <t>H_12</t>
  </si>
  <si>
    <t>Hombre licencia tipo 6B</t>
  </si>
  <si>
    <t>H_13</t>
  </si>
  <si>
    <t>Hombre licencia tipo 7</t>
  </si>
  <si>
    <t>M_1</t>
  </si>
  <si>
    <t>Hombre licencia tipo 8</t>
  </si>
  <si>
    <t>M_2</t>
  </si>
  <si>
    <t>Hombre licencia tipo 9</t>
  </si>
  <si>
    <t>M_3</t>
  </si>
  <si>
    <t>Hombre licencia tipo 10</t>
  </si>
  <si>
    <t>M_4</t>
  </si>
  <si>
    <t>Hombre licencia tipo 11</t>
  </si>
  <si>
    <t>M_5A</t>
  </si>
  <si>
    <t>Hombre licencia tipo 12</t>
  </si>
  <si>
    <t>M_5B</t>
  </si>
  <si>
    <t>Hombre licencia tipo 13</t>
  </si>
  <si>
    <t>M_6A</t>
  </si>
  <si>
    <t>Mujer licencia tipo 1</t>
  </si>
  <si>
    <t>M_6B</t>
  </si>
  <si>
    <t>Mujer licencia tipo 2</t>
  </si>
  <si>
    <t>M_7</t>
  </si>
  <si>
    <t>Mujer licencia tipo 3</t>
  </si>
  <si>
    <t>M_8</t>
  </si>
  <si>
    <t>Mujer licencia tipo 4</t>
  </si>
  <si>
    <t>M_9</t>
  </si>
  <si>
    <t>Mujer licencia tipo 5A</t>
  </si>
  <si>
    <t>M_10</t>
  </si>
  <si>
    <t>Mujer licencia tipo 5B</t>
  </si>
  <si>
    <t>M_11</t>
  </si>
  <si>
    <t>Mujer licencia tipo 6A</t>
  </si>
  <si>
    <t>M_12</t>
  </si>
  <si>
    <t>Mujer licencia tipo 6B</t>
  </si>
  <si>
    <t>M_13</t>
  </si>
  <si>
    <t>Mujer licencia tipo 7</t>
  </si>
  <si>
    <t>Mujer licencia tipo 8</t>
  </si>
  <si>
    <t>Mujer licencia tipo 9</t>
  </si>
  <si>
    <t>Mujer licencia tipo 10</t>
  </si>
  <si>
    <t>Mujer licencia tipo 11</t>
  </si>
  <si>
    <t>Mujer licencia tipo 12</t>
  </si>
  <si>
    <t>Mujer licencia tipo 13</t>
  </si>
  <si>
    <t>H_1_[&lt; 3]</t>
  </si>
  <si>
    <t>1.-Total de dias de licencias autorizadas por tipo de licencia y género, según duración de la licencia médica</t>
  </si>
  <si>
    <t>Codigo licencia</t>
  </si>
  <si>
    <t>TOTAL</t>
  </si>
  <si>
    <t>Hombre</t>
  </si>
  <si>
    <t>Mujer</t>
  </si>
  <si>
    <t>Licencias médicas por &lt;3 dias</t>
  </si>
  <si>
    <t xml:space="preserve">Licencias medicas entre [3 a 10] dias </t>
  </si>
  <si>
    <t>Licencias medicas desde 11 o mas días</t>
  </si>
  <si>
    <t xml:space="preserve">Licencia Maternal Pre y Post Natal </t>
  </si>
  <si>
    <t>Accidente del trabajo o del trayecto (extendido por organismos administradores seguro accidentes del
trabajo y enfermedades profesionales)</t>
  </si>
  <si>
    <t>Enfermedad Profesional (extendido por organismos administradores seguro accidentes del trabajo y
enfermedades profesionales)</t>
  </si>
  <si>
    <t>Uso de licencia médica preventiva parental por causa de la enfermedad COVID-19 para efectos del cuidado
del niño o niña</t>
  </si>
  <si>
    <t>2.-Número de licencias autorizadas por tipo de licencia y género, según duración de la licencia médica</t>
  </si>
  <si>
    <t>TIPO LICENCIA</t>
  </si>
  <si>
    <t>3.-Número de licencias autorizadas con reembolso, por tipo de licencia y género, según duración de la licencia médica</t>
  </si>
  <si>
    <t>4.-Total de monto ($) recuperado por tipo de licencia y género, según duración de la licencia médica</t>
  </si>
  <si>
    <t>Seleccionar mes de corte</t>
  </si>
  <si>
    <t>Tipo de Licencia Médica</t>
  </si>
  <si>
    <t>GÉNERO</t>
  </si>
  <si>
    <t>Hombre y No binario</t>
  </si>
  <si>
    <t>Licencias médicas por
hasta 3 dias</t>
  </si>
  <si>
    <t xml:space="preserve">Licencias medicas entre
[4 a 10] dias </t>
  </si>
  <si>
    <t>Licencias medicas desde
11 o mas días</t>
  </si>
  <si>
    <t>1/2</t>
  </si>
  <si>
    <t>Accidente del trabajo o del trayecto</t>
  </si>
  <si>
    <t>Enfermedad Profesional</t>
  </si>
  <si>
    <t>9/10/ 11/12</t>
  </si>
  <si>
    <t>% según género</t>
  </si>
  <si>
    <t>Número de funcionarios</t>
  </si>
  <si>
    <t>% Licencias médicas reembolsadas</t>
  </si>
  <si>
    <t>n</t>
  </si>
  <si>
    <t>Total registros unicos</t>
  </si>
  <si>
    <t>Total registros validos</t>
  </si>
  <si>
    <t>Ley SANNA</t>
  </si>
  <si>
    <t>130507</t>
  </si>
  <si>
    <t>Programas de empleo</t>
  </si>
  <si>
    <t>Ley SANNA contingencia E</t>
  </si>
  <si>
    <t>070600_1900</t>
  </si>
  <si>
    <t>Comité Sistema de Empresa</t>
  </si>
  <si>
    <t>070600_2100</t>
  </si>
  <si>
    <t>Comité Agroseguros</t>
  </si>
  <si>
    <t>070600_2700</t>
  </si>
  <si>
    <t>Comité de Desarrollo y Fomento Indígena</t>
  </si>
  <si>
    <t>070600_3400</t>
  </si>
  <si>
    <t>Comité para el Fomento de la Economía Asociativa y el Cooperativismo    </t>
  </si>
  <si>
    <t>070600_4012</t>
  </si>
  <si>
    <t>Comité Regional de Fomento Productivo de Antofagasta</t>
  </si>
  <si>
    <t>080112</t>
  </si>
  <si>
    <t>Secretaría y Administración General, Min. Hacienda</t>
  </si>
  <si>
    <t>Secretaria de Gobierno Digital</t>
  </si>
  <si>
    <t>080702</t>
  </si>
  <si>
    <t>Programa de Mejora de la Calidad del Gasto en las Compras Públicas</t>
  </si>
  <si>
    <t>091104</t>
  </si>
  <si>
    <t>Gastos Administrativos Junta Nacional de Jardines Infantiles</t>
  </si>
  <si>
    <t>130104</t>
  </si>
  <si>
    <t>Innovación y Fortalecimiento Institucional para la Seguridad Alimentaria</t>
  </si>
  <si>
    <t>190110</t>
  </si>
  <si>
    <t>División de Transporte Público Regional</t>
  </si>
  <si>
    <t>250103</t>
  </si>
  <si>
    <t>Desarrollo Sostenible</t>
  </si>
  <si>
    <t>260206</t>
  </si>
  <si>
    <t>Mega Eventos Deportivos</t>
  </si>
  <si>
    <t>320101</t>
  </si>
  <si>
    <t>MINISTERIO DE SEGURIDAD PUBLICA</t>
  </si>
  <si>
    <t>Subsecretaria de Seguridad Publica</t>
  </si>
  <si>
    <t>320201</t>
  </si>
  <si>
    <t>Subsecretaria de Prevencion del Delito</t>
  </si>
  <si>
    <t>320202</t>
  </si>
  <si>
    <t>Formacion y Perfectcionamiento Policial</t>
  </si>
  <si>
    <t>320301</t>
  </si>
  <si>
    <t>320401</t>
  </si>
  <si>
    <t>Hospital de Carabinero</t>
  </si>
  <si>
    <t>320501</t>
  </si>
  <si>
    <t>Policia de Investigaciones</t>
  </si>
  <si>
    <t>320601</t>
  </si>
  <si>
    <t>990901</t>
  </si>
  <si>
    <t>OTRAS INSTITUCIONES PÚBLICAS</t>
  </si>
  <si>
    <t>Defensoría de los Derechos de la Niñez</t>
  </si>
  <si>
    <t>120226</t>
  </si>
  <si>
    <t>Construcción, Reparación y Mantención de Transbordadores</t>
  </si>
  <si>
    <t>120403</t>
  </si>
  <si>
    <t xml:space="preserve">Administración de Infraestructuras - Gestión Hídrica y Organizaciones </t>
  </si>
  <si>
    <t>070703_01</t>
  </si>
  <si>
    <t>Programa de Estadísticas Continuas Intercensales Agrícolas</t>
  </si>
  <si>
    <t>070703_02</t>
  </si>
  <si>
    <t>Proyecto Diseños Estadísticos Subsecretaría de Evaluación Social</t>
  </si>
  <si>
    <t>070703_03</t>
  </si>
  <si>
    <t>Encuesta Laboral</t>
  </si>
  <si>
    <t>070703_04</t>
  </si>
  <si>
    <t>Encuesta de Microemprendimiento (EME)</t>
  </si>
  <si>
    <t>070703_05</t>
  </si>
  <si>
    <t>Encuesta Nacional Urbana de Seguridad Ciudadana (ENUSC)</t>
  </si>
  <si>
    <t>070703_06</t>
  </si>
  <si>
    <t>Encuesta Anual I+D</t>
  </si>
  <si>
    <t>070703_07</t>
  </si>
  <si>
    <t>Encuesta Anual de Innovación</t>
  </si>
  <si>
    <t>070703_08</t>
  </si>
  <si>
    <t>Encuesta Diversidades</t>
  </si>
  <si>
    <t>L</t>
  </si>
  <si>
    <t>GORAYEB</t>
  </si>
  <si>
    <t>MUÑOZ</t>
  </si>
  <si>
    <t>MOHAMED YAWARD</t>
  </si>
  <si>
    <t>VALERIO</t>
  </si>
  <si>
    <t>GUTIERREZ</t>
  </si>
  <si>
    <t>IRENE DE LORENA</t>
  </si>
  <si>
    <t>GONZALEZ</t>
  </si>
  <si>
    <t>ISLA</t>
  </si>
  <si>
    <t>CAROLINA PIA</t>
  </si>
  <si>
    <t>GARABITO</t>
  </si>
  <si>
    <t>JOSE ERNESTO</t>
  </si>
  <si>
    <t>VERGARA</t>
  </si>
  <si>
    <t>ALARCON</t>
  </si>
  <si>
    <t>PAULINA ALEJANDRA</t>
  </si>
  <si>
    <t>MEJIA</t>
  </si>
  <si>
    <t>ASTUDILLO</t>
  </si>
  <si>
    <t>CATALINA PAZ</t>
  </si>
  <si>
    <t>ESQUIVEL</t>
  </si>
  <si>
    <t>MORENO</t>
  </si>
  <si>
    <t>CAROLINA JOSE</t>
  </si>
  <si>
    <t>BERRIOS</t>
  </si>
  <si>
    <t>PEÑA</t>
  </si>
  <si>
    <t>ESTEBAN GONZALO</t>
  </si>
  <si>
    <t>VIVANCO</t>
  </si>
  <si>
    <t>BARRA</t>
  </si>
  <si>
    <t>CHRISTOPHER ANDRES</t>
  </si>
  <si>
    <t>MERCED</t>
  </si>
  <si>
    <t>HUENUQUEO</t>
  </si>
  <si>
    <t>VALESKA ALEXANDRA</t>
  </si>
  <si>
    <t>DURAN</t>
  </si>
  <si>
    <t>BRAVO</t>
  </si>
  <si>
    <t>STEPHANIE ROSALIA</t>
  </si>
  <si>
    <t>NUÑEZ</t>
  </si>
  <si>
    <t>FONTECILLA</t>
  </si>
  <si>
    <t>ALEJANDRA ANTONIA</t>
  </si>
  <si>
    <t>ABURTO</t>
  </si>
  <si>
    <t>PAULA CAMILA</t>
  </si>
  <si>
    <t>CARRASCO</t>
  </si>
  <si>
    <t>YEBUL</t>
  </si>
  <si>
    <t>CESAR ALEJANDRO</t>
  </si>
  <si>
    <t>DAVIS</t>
  </si>
  <si>
    <t>VEGA</t>
  </si>
  <si>
    <t>EVELYN XIMENA</t>
  </si>
  <si>
    <t>ESCOBAR</t>
  </si>
  <si>
    <t>ALBORNOZ</t>
  </si>
  <si>
    <t>YASNA LIBORIA</t>
  </si>
  <si>
    <t>GOMEZ</t>
  </si>
  <si>
    <t>GALVEZ</t>
  </si>
  <si>
    <t>VALENTINA PAZ</t>
  </si>
  <si>
    <t>FREDES</t>
  </si>
  <si>
    <t>ROMAN</t>
  </si>
  <si>
    <t>MARIA EUGENIA LEONOR</t>
  </si>
  <si>
    <t>K</t>
  </si>
  <si>
    <t>TUMANI</t>
  </si>
  <si>
    <t>DACCARETT</t>
  </si>
  <si>
    <t>KAREN MODI MARCELA</t>
  </si>
  <si>
    <t>ESPINOZA</t>
  </si>
  <si>
    <t>YESSENNIA HORTENSIA</t>
  </si>
  <si>
    <t>ROJAS</t>
  </si>
  <si>
    <t>ANDRADE</t>
  </si>
  <si>
    <t>MARIA OLIVIA</t>
  </si>
  <si>
    <t>DOBERTI</t>
  </si>
  <si>
    <t>ZUÑIGA</t>
  </si>
  <si>
    <t>RICARDO MATIAS</t>
  </si>
  <si>
    <t>JILBERTO</t>
  </si>
  <si>
    <t>SANHUEZA</t>
  </si>
  <si>
    <t>SEBASTIAN ALEJANDRO</t>
  </si>
  <si>
    <t>PAREDES</t>
  </si>
  <si>
    <t>OYARZO</t>
  </si>
  <si>
    <t>CAROLINA</t>
  </si>
  <si>
    <t>MERY</t>
  </si>
  <si>
    <t>VASQUEZ</t>
  </si>
  <si>
    <t>BRYAN MARCEL</t>
  </si>
  <si>
    <t>JARA</t>
  </si>
  <si>
    <t>VARGAS</t>
  </si>
  <si>
    <t>HUGO ARIEL</t>
  </si>
  <si>
    <t>VARAS</t>
  </si>
  <si>
    <t>CEREÑO</t>
  </si>
  <si>
    <t>LEANDRO WALDO</t>
  </si>
  <si>
    <t>OLAVE</t>
  </si>
  <si>
    <t>LISETTE ALEJANDRA</t>
  </si>
  <si>
    <t>QUILODRAN</t>
  </si>
  <si>
    <t>PERALTA</t>
  </si>
  <si>
    <t>CONSTANZA JAVIERA</t>
  </si>
  <si>
    <t>SOLIS DE OVANDO</t>
  </si>
  <si>
    <t>LINO ANDRES</t>
  </si>
  <si>
    <t>MONSALVE</t>
  </si>
  <si>
    <t>SEPULVEDA</t>
  </si>
  <si>
    <t>CRISTOFER ANTONIO</t>
  </si>
  <si>
    <t>ALVAREZ</t>
  </si>
  <si>
    <t>CERECEDA</t>
  </si>
  <si>
    <t>JUAN PABLO</t>
  </si>
  <si>
    <t>FERRADA</t>
  </si>
  <si>
    <t>SANDOVAL</t>
  </si>
  <si>
    <t>CLAUDIO ANDRES</t>
  </si>
  <si>
    <t>CASTRO</t>
  </si>
  <si>
    <t>CABEZAS</t>
  </si>
  <si>
    <t>JUAN CARLOS</t>
  </si>
  <si>
    <t>ORTEGA</t>
  </si>
  <si>
    <t>FABIAN ALEXIS</t>
  </si>
  <si>
    <t>FUENTEALBA</t>
  </si>
  <si>
    <t>YEVILAO</t>
  </si>
  <si>
    <t>PATRICIA DEL CARMEN</t>
  </si>
  <si>
    <t>BOMBIN</t>
  </si>
  <si>
    <t>CAROLA PATRICIA</t>
  </si>
  <si>
    <t>CASANUEVA</t>
  </si>
  <si>
    <t>BAHAMONDES</t>
  </si>
  <si>
    <t>CRISTIAN IGNACIO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</si>
</sst>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$&quot;* #,##0_ ;_ &quot;$&quot;* \-#,##0_ ;_ &quot;$&quot;* &quot;-&quot;_ ;_ @_ "/>
    <numFmt numFmtId="164" formatCode="dd/mm/yyyy;@"/>
    <numFmt numFmtId="165" formatCode="0.0%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</font>
    <font>
      <sz val="7"/>
      <name val="Calibri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0"/>
      <color indexed="8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color indexed="12"/>
      <name val="Calibri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FFFFFF"/>
      <name val="Calibri"/>
      <family val="2"/>
      <scheme val="minor"/>
    </font>
    <font>
      <sz val="14"/>
      <color theme="1"/>
      <name val="Candara"/>
      <family val="2"/>
    </font>
    <font>
      <b/>
      <i/>
      <sz val="14"/>
      <color theme="1"/>
      <name val="Candara"/>
      <family val="2"/>
    </font>
    <font>
      <b/>
      <sz val="14"/>
      <color theme="1"/>
      <name val="Candara"/>
      <family val="2"/>
    </font>
    <font>
      <sz val="14"/>
      <color theme="1"/>
      <name val="Calibri"/>
      <family val="2"/>
      <scheme val="minor"/>
    </font>
    <font>
      <i/>
      <sz val="14"/>
      <color theme="1"/>
      <name val="Candara"/>
      <family val="2"/>
    </font>
    <font>
      <sz val="12"/>
      <color theme="1"/>
      <name val="Calibri"/>
      <family val="2"/>
      <scheme val="minor"/>
    </font>
    <font>
      <sz val="12"/>
      <color theme="1"/>
      <name val="Candara"/>
      <family val="2"/>
    </font>
    <font>
      <b/>
      <sz val="12"/>
      <color theme="1"/>
      <name val="Candara"/>
      <family val="2"/>
    </font>
    <font>
      <b/>
      <i/>
      <sz val="12"/>
      <color theme="1"/>
      <name val="Candara"/>
      <family val="2"/>
    </font>
    <font>
      <sz val="11"/>
      <color theme="1"/>
      <name val="Aptos Display"/>
      <family val="2"/>
    </font>
    <font>
      <sz val="14"/>
      <color theme="1"/>
      <name val="Aptos Display"/>
      <family val="2"/>
    </font>
    <font>
      <b/>
      <i/>
      <sz val="14"/>
      <color theme="1"/>
      <name val="Aptos Display"/>
      <family val="2"/>
    </font>
    <font>
      <b/>
      <sz val="12"/>
      <color theme="1"/>
      <name val="Aptos Display"/>
      <family val="2"/>
    </font>
    <font>
      <b/>
      <sz val="11"/>
      <color theme="1"/>
      <name val="Aptos Display"/>
      <family val="2"/>
    </font>
    <font>
      <sz val="12"/>
      <color theme="1"/>
      <name val="Aptos Display"/>
      <family val="2"/>
    </font>
    <font>
      <b/>
      <i/>
      <sz val="12"/>
      <color theme="1"/>
      <name val="Aptos Display"/>
      <family val="2"/>
    </font>
    <font>
      <b/>
      <i/>
      <sz val="11"/>
      <color theme="1"/>
      <name val="Aptos Display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6" fillId="0" borderId="0"/>
    <xf numFmtId="0" fontId="1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253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0" fontId="9" fillId="0" borderId="3" xfId="0" applyFont="1" applyBorder="1" applyAlignment="1">
      <alignment horizontal="justify" vertical="top" wrapText="1"/>
    </xf>
    <xf numFmtId="0" fontId="9" fillId="4" borderId="4" xfId="0" applyFont="1" applyFill="1" applyBorder="1" applyAlignment="1">
      <alignment horizontal="center" vertical="top" wrapText="1"/>
    </xf>
    <xf numFmtId="0" fontId="10" fillId="0" borderId="3" xfId="0" applyFont="1" applyBorder="1" applyAlignment="1">
      <alignment horizontal="justify" vertical="top" wrapText="1"/>
    </xf>
    <xf numFmtId="49" fontId="10" fillId="4" borderId="4" xfId="0" applyNumberFormat="1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10" fillId="0" borderId="3" xfId="0" applyFont="1" applyBorder="1" applyAlignment="1">
      <alignment horizontal="left" vertical="top" wrapText="1"/>
    </xf>
    <xf numFmtId="0" fontId="10" fillId="4" borderId="4" xfId="0" applyFont="1" applyFill="1" applyBorder="1" applyAlignment="1">
      <alignment horizontal="center" vertical="top" wrapText="1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Continuous"/>
    </xf>
    <xf numFmtId="0" fontId="3" fillId="0" borderId="3" xfId="0" applyFont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16" fillId="0" borderId="3" xfId="0" applyFont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10" fillId="4" borderId="4" xfId="0" applyFont="1" applyFill="1" applyBorder="1" applyAlignment="1">
      <alignment wrapText="1"/>
    </xf>
    <xf numFmtId="0" fontId="8" fillId="4" borderId="4" xfId="0" applyFont="1" applyFill="1" applyBorder="1" applyAlignment="1">
      <alignment wrapText="1"/>
    </xf>
    <xf numFmtId="0" fontId="10" fillId="0" borderId="0" xfId="0" applyFont="1"/>
    <xf numFmtId="0" fontId="19" fillId="0" borderId="3" xfId="0" applyFont="1" applyBorder="1" applyAlignment="1">
      <alignment horizontal="left" vertical="top" wrapText="1"/>
    </xf>
    <xf numFmtId="0" fontId="9" fillId="3" borderId="1" xfId="4" applyFont="1" applyFill="1" applyBorder="1" applyAlignment="1">
      <alignment vertical="center"/>
    </xf>
    <xf numFmtId="0" fontId="9" fillId="3" borderId="5" xfId="4" applyFont="1" applyFill="1" applyBorder="1" applyAlignment="1">
      <alignment vertical="center"/>
    </xf>
    <xf numFmtId="0" fontId="9" fillId="0" borderId="3" xfId="4" applyFont="1" applyBorder="1" applyAlignment="1">
      <alignment vertical="center"/>
    </xf>
    <xf numFmtId="0" fontId="9" fillId="4" borderId="4" xfId="4" applyFont="1" applyFill="1" applyBorder="1" applyAlignment="1">
      <alignment horizontal="center" vertical="center"/>
    </xf>
    <xf numFmtId="0" fontId="10" fillId="5" borderId="3" xfId="4" applyFont="1" applyFill="1" applyBorder="1" applyAlignment="1">
      <alignment vertical="center"/>
    </xf>
    <xf numFmtId="0" fontId="10" fillId="4" borderId="4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vertical="center"/>
    </xf>
    <xf numFmtId="0" fontId="10" fillId="6" borderId="3" xfId="4" applyFont="1" applyFill="1" applyBorder="1" applyAlignment="1">
      <alignment vertical="center"/>
    </xf>
    <xf numFmtId="0" fontId="21" fillId="7" borderId="3" xfId="4" applyFont="1" applyFill="1" applyBorder="1" applyAlignment="1">
      <alignment vertical="center"/>
    </xf>
    <xf numFmtId="0" fontId="21" fillId="8" borderId="3" xfId="4" applyFont="1" applyFill="1" applyBorder="1" applyAlignment="1">
      <alignment vertical="center"/>
    </xf>
    <xf numFmtId="0" fontId="10" fillId="9" borderId="3" xfId="4" applyFont="1" applyFill="1" applyBorder="1" applyAlignment="1">
      <alignment vertical="center"/>
    </xf>
    <xf numFmtId="0" fontId="10" fillId="10" borderId="3" xfId="4" applyFont="1" applyFill="1" applyBorder="1" applyAlignment="1">
      <alignment vertical="center"/>
    </xf>
    <xf numFmtId="0" fontId="10" fillId="0" borderId="3" xfId="4" applyFont="1" applyBorder="1" applyAlignment="1">
      <alignment vertical="center"/>
    </xf>
    <xf numFmtId="0" fontId="9" fillId="0" borderId="0" xfId="4" applyFont="1" applyAlignment="1">
      <alignment horizontal="justify" vertical="center"/>
    </xf>
    <xf numFmtId="0" fontId="2" fillId="0" borderId="0" xfId="4" applyAlignment="1">
      <alignment vertical="center"/>
    </xf>
    <xf numFmtId="0" fontId="9" fillId="3" borderId="1" xfId="4" applyFont="1" applyFill="1" applyBorder="1" applyAlignment="1">
      <alignment vertical="center" wrapText="1"/>
    </xf>
    <xf numFmtId="0" fontId="9" fillId="3" borderId="5" xfId="4" applyFont="1" applyFill="1" applyBorder="1" applyAlignment="1">
      <alignment vertical="center" wrapText="1"/>
    </xf>
    <xf numFmtId="0" fontId="9" fillId="0" borderId="3" xfId="4" applyFont="1" applyBorder="1" applyAlignment="1">
      <alignment vertical="center" wrapText="1"/>
    </xf>
    <xf numFmtId="0" fontId="9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/>
    </xf>
    <xf numFmtId="0" fontId="10" fillId="0" borderId="6" xfId="4" applyFont="1" applyBorder="1" applyAlignment="1">
      <alignment vertical="center" wrapText="1"/>
    </xf>
    <xf numFmtId="0" fontId="10" fillId="4" borderId="3" xfId="4" applyFont="1" applyFill="1" applyBorder="1" applyAlignment="1">
      <alignment vertical="center" wrapText="1"/>
    </xf>
    <xf numFmtId="0" fontId="9" fillId="2" borderId="5" xfId="4" quotePrefix="1" applyFont="1" applyFill="1" applyBorder="1" applyAlignment="1">
      <alignment horizontal="center" vertical="center"/>
    </xf>
    <xf numFmtId="0" fontId="9" fillId="9" borderId="5" xfId="4" applyFont="1" applyFill="1" applyBorder="1" applyAlignment="1">
      <alignment horizontal="center" vertical="center"/>
    </xf>
    <xf numFmtId="0" fontId="9" fillId="6" borderId="5" xfId="4" applyFont="1" applyFill="1" applyBorder="1" applyAlignment="1">
      <alignment horizontal="center" vertical="center"/>
    </xf>
    <xf numFmtId="0" fontId="22" fillId="7" borderId="5" xfId="4" applyFont="1" applyFill="1" applyBorder="1" applyAlignment="1">
      <alignment horizontal="center" vertical="center"/>
    </xf>
    <xf numFmtId="0" fontId="22" fillId="8" borderId="5" xfId="4" applyFont="1" applyFill="1" applyBorder="1" applyAlignment="1">
      <alignment horizontal="center" vertical="center"/>
    </xf>
    <xf numFmtId="0" fontId="10" fillId="0" borderId="3" xfId="4" applyFont="1" applyBorder="1" applyAlignment="1">
      <alignment vertical="center" wrapText="1"/>
    </xf>
    <xf numFmtId="0" fontId="10" fillId="4" borderId="4" xfId="4" applyFont="1" applyFill="1" applyBorder="1" applyAlignment="1">
      <alignment vertical="center" wrapText="1"/>
    </xf>
    <xf numFmtId="0" fontId="9" fillId="10" borderId="5" xfId="4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left" vertical="top" wrapText="1"/>
    </xf>
    <xf numFmtId="49" fontId="10" fillId="0" borderId="0" xfId="0" applyNumberFormat="1" applyFont="1"/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30" fillId="0" borderId="0" xfId="0" applyFont="1"/>
    <xf numFmtId="0" fontId="1" fillId="4" borderId="3" xfId="4" applyFont="1" applyFill="1" applyBorder="1" applyAlignment="1">
      <alignment vertical="center" wrapText="1"/>
    </xf>
    <xf numFmtId="49" fontId="1" fillId="0" borderId="0" xfId="0" applyNumberFormat="1" applyFont="1"/>
    <xf numFmtId="0" fontId="13" fillId="0" borderId="0" xfId="0" applyFont="1" applyAlignment="1">
      <alignment horizontal="center" vertical="center" wrapText="1"/>
    </xf>
    <xf numFmtId="0" fontId="18" fillId="4" borderId="7" xfId="0" applyFont="1" applyFill="1" applyBorder="1" applyAlignment="1">
      <alignment horizontal="left" vertical="top" wrapText="1"/>
    </xf>
    <xf numFmtId="0" fontId="31" fillId="0" borderId="3" xfId="0" applyFont="1" applyBorder="1" applyAlignment="1">
      <alignment horizontal="justify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center" vertical="center" wrapText="1"/>
    </xf>
    <xf numFmtId="0" fontId="25" fillId="12" borderId="0" xfId="0" applyFont="1" applyFill="1" applyAlignment="1">
      <alignment horizontal="center" vertical="center" wrapText="1"/>
    </xf>
    <xf numFmtId="0" fontId="24" fillId="13" borderId="0" xfId="2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 wrapText="1"/>
    </xf>
    <xf numFmtId="0" fontId="7" fillId="11" borderId="0" xfId="1" applyFont="1" applyFill="1" applyAlignment="1">
      <alignment horizontal="center" vertical="center" wrapText="1"/>
    </xf>
    <xf numFmtId="0" fontId="32" fillId="0" borderId="5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19" fillId="0" borderId="5" xfId="0" applyFont="1" applyBorder="1" applyAlignment="1">
      <alignment horizontal="justify" vertical="top" wrapText="1"/>
    </xf>
    <xf numFmtId="0" fontId="19" fillId="4" borderId="2" xfId="0" applyFont="1" applyFill="1" applyBorder="1" applyAlignment="1">
      <alignment horizontal="center" wrapText="1"/>
    </xf>
    <xf numFmtId="0" fontId="23" fillId="4" borderId="4" xfId="0" applyFont="1" applyFill="1" applyBorder="1" applyAlignment="1">
      <alignment vertical="top" wrapText="1"/>
    </xf>
    <xf numFmtId="0" fontId="19" fillId="15" borderId="3" xfId="0" applyFont="1" applyFill="1" applyBorder="1" applyAlignment="1">
      <alignment vertical="top" wrapText="1"/>
    </xf>
    <xf numFmtId="0" fontId="23" fillId="15" borderId="4" xfId="0" applyFont="1" applyFill="1" applyBorder="1" applyAlignment="1">
      <alignment vertical="top" wrapText="1"/>
    </xf>
    <xf numFmtId="0" fontId="35" fillId="16" borderId="3" xfId="0" applyFont="1" applyFill="1" applyBorder="1" applyAlignment="1">
      <alignment horizontal="justify" vertical="center" wrapText="1"/>
    </xf>
    <xf numFmtId="0" fontId="35" fillId="16" borderId="4" xfId="0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justify" vertical="center" wrapText="1"/>
    </xf>
    <xf numFmtId="0" fontId="29" fillId="0" borderId="4" xfId="0" applyFont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justify" vertical="top" wrapText="1"/>
    </xf>
    <xf numFmtId="0" fontId="10" fillId="14" borderId="4" xfId="0" applyFont="1" applyFill="1" applyBorder="1" applyAlignment="1">
      <alignment horizontal="center" wrapText="1"/>
    </xf>
    <xf numFmtId="0" fontId="10" fillId="14" borderId="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" fontId="1" fillId="0" borderId="0" xfId="0" applyNumberFormat="1" applyFont="1"/>
    <xf numFmtId="0" fontId="1" fillId="0" borderId="0" xfId="0" applyFont="1"/>
    <xf numFmtId="1" fontId="10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49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2" applyFont="1" applyAlignment="1">
      <alignment horizontal="center"/>
    </xf>
    <xf numFmtId="0" fontId="19" fillId="0" borderId="0" xfId="0" applyFont="1" applyAlignment="1">
      <alignment horizontal="left" vertical="top" wrapText="1"/>
    </xf>
    <xf numFmtId="0" fontId="23" fillId="4" borderId="0" xfId="0" applyFont="1" applyFill="1" applyAlignment="1">
      <alignment horizontal="left" vertical="top" wrapText="1"/>
    </xf>
    <xf numFmtId="0" fontId="9" fillId="3" borderId="1" xfId="5" applyFont="1" applyFill="1" applyBorder="1" applyAlignment="1">
      <alignment vertical="center"/>
    </xf>
    <xf numFmtId="0" fontId="9" fillId="3" borderId="5" xfId="5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3" applyNumberFormat="1" applyFont="1"/>
    <xf numFmtId="0" fontId="1" fillId="0" borderId="6" xfId="4" applyFont="1" applyBorder="1" applyAlignment="1">
      <alignment vertical="center" wrapText="1"/>
    </xf>
    <xf numFmtId="49" fontId="1" fillId="0" borderId="7" xfId="3" applyNumberFormat="1" applyFont="1" applyBorder="1"/>
    <xf numFmtId="0" fontId="1" fillId="0" borderId="7" xfId="3" applyFont="1" applyBorder="1" applyAlignment="1">
      <alignment vertical="center"/>
    </xf>
    <xf numFmtId="0" fontId="10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14" fontId="10" fillId="0" borderId="0" xfId="0" applyNumberFormat="1" applyFont="1" applyAlignment="1">
      <alignment vertical="center"/>
    </xf>
    <xf numFmtId="49" fontId="12" fillId="0" borderId="7" xfId="3" applyNumberFormat="1" applyFont="1" applyBorder="1" applyAlignment="1">
      <alignment horizontal="center" vertical="center"/>
    </xf>
    <xf numFmtId="0" fontId="29" fillId="0" borderId="7" xfId="0" applyFont="1" applyBorder="1"/>
    <xf numFmtId="49" fontId="13" fillId="17" borderId="8" xfId="0" applyNumberFormat="1" applyFont="1" applyFill="1" applyBorder="1"/>
    <xf numFmtId="0" fontId="13" fillId="17" borderId="7" xfId="0" applyFont="1" applyFill="1" applyBorder="1" applyAlignment="1">
      <alignment vertical="center"/>
    </xf>
    <xf numFmtId="0" fontId="13" fillId="17" borderId="7" xfId="0" applyFont="1" applyFill="1" applyBorder="1"/>
    <xf numFmtId="0" fontId="4" fillId="1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19" borderId="7" xfId="0" applyFill="1" applyBorder="1" applyAlignment="1">
      <alignment horizontal="center"/>
    </xf>
    <xf numFmtId="0" fontId="0" fillId="15" borderId="7" xfId="0" applyFill="1" applyBorder="1" applyAlignment="1">
      <alignment horizontal="center"/>
    </xf>
    <xf numFmtId="0" fontId="36" fillId="0" borderId="0" xfId="0" applyFont="1"/>
    <xf numFmtId="0" fontId="37" fillId="0" borderId="0" xfId="0" applyFont="1" applyAlignment="1">
      <alignment horizontal="center"/>
    </xf>
    <xf numFmtId="0" fontId="38" fillId="12" borderId="7" xfId="0" applyFont="1" applyFill="1" applyBorder="1" applyAlignment="1">
      <alignment horizontal="center"/>
    </xf>
    <xf numFmtId="0" fontId="38" fillId="19" borderId="0" xfId="0" applyFont="1" applyFill="1" applyAlignment="1">
      <alignment horizontal="center"/>
    </xf>
    <xf numFmtId="0" fontId="38" fillId="12" borderId="7" xfId="0" applyFont="1" applyFill="1" applyBorder="1" applyAlignment="1">
      <alignment horizontal="center" wrapText="1"/>
    </xf>
    <xf numFmtId="0" fontId="38" fillId="19" borderId="7" xfId="0" applyFont="1" applyFill="1" applyBorder="1" applyAlignment="1">
      <alignment horizontal="center" wrapText="1"/>
    </xf>
    <xf numFmtId="0" fontId="38" fillId="19" borderId="0" xfId="0" applyFont="1" applyFill="1" applyAlignment="1">
      <alignment horizontal="center" wrapText="1"/>
    </xf>
    <xf numFmtId="0" fontId="36" fillId="0" borderId="7" xfId="0" applyFont="1" applyBorder="1" applyAlignment="1">
      <alignment horizontal="center"/>
    </xf>
    <xf numFmtId="0" fontId="36" fillId="0" borderId="7" xfId="0" applyFont="1" applyBorder="1" applyAlignment="1">
      <alignment horizontal="center" wrapText="1"/>
    </xf>
    <xf numFmtId="0" fontId="36" fillId="0" borderId="0" xfId="0" applyFont="1" applyAlignment="1">
      <alignment horizontal="center"/>
    </xf>
    <xf numFmtId="0" fontId="37" fillId="0" borderId="7" xfId="0" applyFont="1" applyBorder="1" applyAlignment="1">
      <alignment horizontal="center"/>
    </xf>
    <xf numFmtId="0" fontId="39" fillId="0" borderId="0" xfId="0" applyFont="1"/>
    <xf numFmtId="0" fontId="40" fillId="0" borderId="7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41" fillId="0" borderId="0" xfId="0" applyFont="1"/>
    <xf numFmtId="0" fontId="42" fillId="0" borderId="0" xfId="0" applyFont="1"/>
    <xf numFmtId="0" fontId="43" fillId="12" borderId="7" xfId="0" applyFont="1" applyFill="1" applyBorder="1" applyAlignment="1">
      <alignment horizontal="center"/>
    </xf>
    <xf numFmtId="0" fontId="43" fillId="19" borderId="0" xfId="0" applyFont="1" applyFill="1" applyAlignment="1">
      <alignment horizontal="center"/>
    </xf>
    <xf numFmtId="0" fontId="43" fillId="12" borderId="7" xfId="0" applyFont="1" applyFill="1" applyBorder="1" applyAlignment="1">
      <alignment horizontal="center" wrapText="1"/>
    </xf>
    <xf numFmtId="0" fontId="43" fillId="19" borderId="7" xfId="0" applyFont="1" applyFill="1" applyBorder="1" applyAlignment="1">
      <alignment horizontal="center" wrapText="1"/>
    </xf>
    <xf numFmtId="0" fontId="43" fillId="19" borderId="0" xfId="0" applyFont="1" applyFill="1" applyAlignment="1">
      <alignment horizontal="center" wrapText="1"/>
    </xf>
    <xf numFmtId="0" fontId="42" fillId="0" borderId="7" xfId="0" applyFont="1" applyBorder="1" applyAlignment="1">
      <alignment horizontal="center"/>
    </xf>
    <xf numFmtId="0" fontId="42" fillId="0" borderId="7" xfId="0" applyFont="1" applyBorder="1" applyAlignment="1">
      <alignment horizontal="center" wrapText="1"/>
    </xf>
    <xf numFmtId="3" fontId="42" fillId="0" borderId="7" xfId="0" applyNumberFormat="1" applyFont="1" applyBorder="1"/>
    <xf numFmtId="3" fontId="42" fillId="0" borderId="0" xfId="0" applyNumberFormat="1" applyFont="1"/>
    <xf numFmtId="3" fontId="44" fillId="0" borderId="7" xfId="0" applyNumberFormat="1" applyFont="1" applyBorder="1" applyAlignment="1">
      <alignment horizontal="center"/>
    </xf>
    <xf numFmtId="3" fontId="44" fillId="0" borderId="11" xfId="0" applyNumberFormat="1" applyFont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5" fillId="0" borderId="0" xfId="0" applyFont="1"/>
    <xf numFmtId="0" fontId="45" fillId="0" borderId="0" xfId="0" applyFont="1" applyAlignment="1">
      <alignment horizontal="center"/>
    </xf>
    <xf numFmtId="0" fontId="46" fillId="0" borderId="0" xfId="0" applyFont="1"/>
    <xf numFmtId="0" fontId="50" fillId="21" borderId="22" xfId="0" applyFont="1" applyFill="1" applyBorder="1" applyAlignment="1">
      <alignment horizontal="center" vertical="top" wrapText="1"/>
    </xf>
    <xf numFmtId="49" fontId="50" fillId="0" borderId="23" xfId="0" applyNumberFormat="1" applyFont="1" applyBorder="1" applyAlignment="1">
      <alignment horizontal="center" vertical="center"/>
    </xf>
    <xf numFmtId="0" fontId="50" fillId="0" borderId="23" xfId="0" applyFont="1" applyBorder="1" applyAlignment="1">
      <alignment horizontal="left" wrapText="1"/>
    </xf>
    <xf numFmtId="3" fontId="50" fillId="0" borderId="24" xfId="0" applyNumberFormat="1" applyFont="1" applyBorder="1" applyAlignment="1">
      <alignment horizontal="center"/>
    </xf>
    <xf numFmtId="3" fontId="50" fillId="0" borderId="25" xfId="0" applyNumberFormat="1" applyFont="1" applyBorder="1" applyAlignment="1">
      <alignment horizontal="center"/>
    </xf>
    <xf numFmtId="3" fontId="50" fillId="0" borderId="26" xfId="0" applyNumberFormat="1" applyFont="1" applyBorder="1" applyAlignment="1">
      <alignment horizontal="center"/>
    </xf>
    <xf numFmtId="3" fontId="50" fillId="0" borderId="27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/>
    </xf>
    <xf numFmtId="0" fontId="50" fillId="0" borderId="28" xfId="0" applyFont="1" applyBorder="1" applyAlignment="1">
      <alignment horizontal="left" wrapText="1"/>
    </xf>
    <xf numFmtId="3" fontId="50" fillId="0" borderId="29" xfId="0" applyNumberFormat="1" applyFont="1" applyBorder="1" applyAlignment="1">
      <alignment horizontal="center"/>
    </xf>
    <xf numFmtId="3" fontId="50" fillId="0" borderId="30" xfId="0" applyNumberFormat="1" applyFont="1" applyBorder="1" applyAlignment="1">
      <alignment horizontal="center"/>
    </xf>
    <xf numFmtId="3" fontId="50" fillId="0" borderId="31" xfId="0" applyNumberFormat="1" applyFont="1" applyBorder="1" applyAlignment="1">
      <alignment horizontal="center"/>
    </xf>
    <xf numFmtId="3" fontId="50" fillId="0" borderId="32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 wrapText="1"/>
    </xf>
    <xf numFmtId="0" fontId="51" fillId="0" borderId="9" xfId="0" applyFont="1" applyBorder="1"/>
    <xf numFmtId="0" fontId="51" fillId="0" borderId="0" xfId="0" applyFont="1"/>
    <xf numFmtId="49" fontId="50" fillId="0" borderId="7" xfId="0" applyNumberFormat="1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165" fontId="51" fillId="0" borderId="0" xfId="6" applyNumberFormat="1" applyFont="1" applyBorder="1" applyAlignment="1">
      <alignment horizontal="center"/>
    </xf>
    <xf numFmtId="42" fontId="45" fillId="0" borderId="24" xfId="7" applyFont="1" applyBorder="1" applyAlignment="1">
      <alignment horizontal="center"/>
    </xf>
    <xf numFmtId="42" fontId="45" fillId="0" borderId="25" xfId="7" applyFont="1" applyBorder="1" applyAlignment="1">
      <alignment horizontal="center"/>
    </xf>
    <xf numFmtId="42" fontId="45" fillId="0" borderId="26" xfId="7" applyFont="1" applyBorder="1" applyAlignment="1">
      <alignment horizontal="center"/>
    </xf>
    <xf numFmtId="42" fontId="45" fillId="0" borderId="27" xfId="7" applyFont="1" applyBorder="1" applyAlignment="1">
      <alignment horizontal="center"/>
    </xf>
    <xf numFmtId="42" fontId="45" fillId="0" borderId="29" xfId="7" applyFont="1" applyBorder="1" applyAlignment="1">
      <alignment horizontal="center"/>
    </xf>
    <xf numFmtId="42" fontId="45" fillId="0" borderId="30" xfId="7" applyFont="1" applyBorder="1" applyAlignment="1">
      <alignment horizontal="center"/>
    </xf>
    <xf numFmtId="42" fontId="45" fillId="0" borderId="31" xfId="7" applyFont="1" applyBorder="1" applyAlignment="1">
      <alignment horizontal="center"/>
    </xf>
    <xf numFmtId="42" fontId="45" fillId="0" borderId="32" xfId="7" applyFont="1" applyBorder="1" applyAlignment="1">
      <alignment horizontal="center"/>
    </xf>
    <xf numFmtId="0" fontId="13" fillId="2" borderId="0" xfId="0" applyFont="1" applyFill="1"/>
    <xf numFmtId="3" fontId="0" fillId="0" borderId="0" xfId="0" applyNumberFormat="1"/>
    <xf numFmtId="0" fontId="51" fillId="21" borderId="9" xfId="0" applyFont="1" applyFill="1" applyBorder="1"/>
    <xf numFmtId="3" fontId="51" fillId="21" borderId="19" xfId="0" applyNumberFormat="1" applyFont="1" applyFill="1" applyBorder="1" applyAlignment="1">
      <alignment horizontal="center"/>
    </xf>
    <xf numFmtId="3" fontId="51" fillId="21" borderId="20" xfId="0" applyNumberFormat="1" applyFont="1" applyFill="1" applyBorder="1" applyAlignment="1">
      <alignment horizontal="center"/>
    </xf>
    <xf numFmtId="3" fontId="51" fillId="21" borderId="21" xfId="0" applyNumberFormat="1" applyFont="1" applyFill="1" applyBorder="1" applyAlignment="1">
      <alignment horizontal="center"/>
    </xf>
    <xf numFmtId="3" fontId="51" fillId="21" borderId="22" xfId="0" applyNumberFormat="1" applyFont="1" applyFill="1" applyBorder="1" applyAlignment="1">
      <alignment horizontal="center"/>
    </xf>
    <xf numFmtId="165" fontId="51" fillId="22" borderId="10" xfId="6" applyNumberFormat="1" applyFont="1" applyFill="1" applyBorder="1" applyAlignment="1">
      <alignment horizontal="center"/>
    </xf>
    <xf numFmtId="0" fontId="51" fillId="22" borderId="7" xfId="0" applyFont="1" applyFill="1" applyBorder="1" applyAlignment="1">
      <alignment horizontal="left"/>
    </xf>
    <xf numFmtId="3" fontId="51" fillId="22" borderId="10" xfId="0" applyNumberFormat="1" applyFont="1" applyFill="1" applyBorder="1" applyAlignment="1">
      <alignment horizontal="center"/>
    </xf>
    <xf numFmtId="0" fontId="51" fillId="22" borderId="9" xfId="0" applyFont="1" applyFill="1" applyBorder="1" applyAlignment="1">
      <alignment horizontal="left"/>
    </xf>
    <xf numFmtId="42" fontId="52" fillId="21" borderId="19" xfId="7" applyFont="1" applyFill="1" applyBorder="1" applyAlignment="1">
      <alignment horizontal="center"/>
    </xf>
    <xf numFmtId="42" fontId="52" fillId="21" borderId="20" xfId="7" applyFont="1" applyFill="1" applyBorder="1" applyAlignment="1">
      <alignment horizontal="center"/>
    </xf>
    <xf numFmtId="42" fontId="52" fillId="21" borderId="21" xfId="7" applyFont="1" applyFill="1" applyBorder="1" applyAlignment="1">
      <alignment horizontal="center"/>
    </xf>
    <xf numFmtId="42" fontId="52" fillId="21" borderId="22" xfId="7" applyFont="1" applyFill="1" applyBorder="1" applyAlignment="1">
      <alignment horizontal="center"/>
    </xf>
    <xf numFmtId="3" fontId="51" fillId="0" borderId="9" xfId="0" applyNumberFormat="1" applyFont="1" applyBorder="1" applyAlignment="1">
      <alignment horizontal="center"/>
    </xf>
    <xf numFmtId="3" fontId="51" fillId="0" borderId="12" xfId="0" applyNumberFormat="1" applyFont="1" applyBorder="1" applyAlignment="1">
      <alignment horizontal="center"/>
    </xf>
    <xf numFmtId="0" fontId="51" fillId="23" borderId="7" xfId="0" applyFont="1" applyFill="1" applyBorder="1"/>
    <xf numFmtId="0" fontId="51" fillId="0" borderId="9" xfId="0" applyFont="1" applyBorder="1" applyAlignment="1">
      <alignment horizontal="center"/>
    </xf>
    <xf numFmtId="0" fontId="51" fillId="0" borderId="12" xfId="0" applyFont="1" applyBorder="1" applyAlignment="1">
      <alignment horizontal="center"/>
    </xf>
    <xf numFmtId="0" fontId="45" fillId="21" borderId="19" xfId="0" applyFont="1" applyFill="1" applyBorder="1" applyAlignment="1">
      <alignment horizontal="center" vertical="top" wrapText="1"/>
    </xf>
    <xf numFmtId="0" fontId="45" fillId="21" borderId="20" xfId="0" applyFont="1" applyFill="1" applyBorder="1" applyAlignment="1">
      <alignment horizontal="center" vertical="top" wrapText="1"/>
    </xf>
    <xf numFmtId="0" fontId="45" fillId="21" borderId="21" xfId="0" applyFont="1" applyFill="1" applyBorder="1" applyAlignment="1">
      <alignment horizontal="center" vertical="top" wrapText="1"/>
    </xf>
    <xf numFmtId="0" fontId="45" fillId="21" borderId="22" xfId="0" applyFont="1" applyFill="1" applyBorder="1" applyAlignment="1">
      <alignment horizontal="center" vertical="top" wrapText="1"/>
    </xf>
    <xf numFmtId="0" fontId="13" fillId="0" borderId="33" xfId="0" applyFont="1" applyBorder="1" applyAlignment="1">
      <alignment vertical="center"/>
    </xf>
    <xf numFmtId="0" fontId="13" fillId="0" borderId="33" xfId="0" applyFont="1" applyBorder="1" applyAlignment="1">
      <alignment wrapText="1"/>
    </xf>
    <xf numFmtId="0" fontId="13" fillId="0" borderId="34" xfId="0" applyFont="1" applyBorder="1" applyAlignment="1">
      <alignment wrapText="1"/>
    </xf>
    <xf numFmtId="0" fontId="47" fillId="0" borderId="0" xfId="0" applyFont="1" applyAlignment="1">
      <alignment horizontal="center"/>
    </xf>
    <xf numFmtId="0" fontId="49" fillId="21" borderId="7" xfId="0" applyFont="1" applyFill="1" applyBorder="1" applyAlignment="1">
      <alignment horizontal="center" vertical="center"/>
    </xf>
    <xf numFmtId="0" fontId="49" fillId="21" borderId="9" xfId="0" applyFont="1" applyFill="1" applyBorder="1" applyAlignment="1">
      <alignment horizontal="center"/>
    </xf>
    <xf numFmtId="0" fontId="49" fillId="21" borderId="12" xfId="0" applyFont="1" applyFill="1" applyBorder="1" applyAlignment="1">
      <alignment horizontal="center"/>
    </xf>
    <xf numFmtId="0" fontId="49" fillId="21" borderId="10" xfId="0" applyFont="1" applyFill="1" applyBorder="1" applyAlignment="1">
      <alignment horizontal="center"/>
    </xf>
    <xf numFmtId="0" fontId="49" fillId="21" borderId="13" xfId="0" applyFont="1" applyFill="1" applyBorder="1" applyAlignment="1">
      <alignment horizontal="center" vertical="center"/>
    </xf>
    <xf numFmtId="0" fontId="49" fillId="21" borderId="14" xfId="0" applyFont="1" applyFill="1" applyBorder="1" applyAlignment="1">
      <alignment horizontal="center" vertical="center"/>
    </xf>
    <xf numFmtId="0" fontId="49" fillId="21" borderId="15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 vertical="center"/>
    </xf>
    <xf numFmtId="0" fontId="49" fillId="21" borderId="17" xfId="0" applyFont="1" applyFill="1" applyBorder="1" applyAlignment="1">
      <alignment horizontal="center" vertical="center"/>
    </xf>
    <xf numFmtId="0" fontId="49" fillId="21" borderId="18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/>
    </xf>
    <xf numFmtId="0" fontId="49" fillId="21" borderId="17" xfId="0" applyFont="1" applyFill="1" applyBorder="1" applyAlignment="1">
      <alignment horizontal="center"/>
    </xf>
    <xf numFmtId="0" fontId="49" fillId="21" borderId="18" xfId="0" applyFont="1" applyFill="1" applyBorder="1" applyAlignment="1">
      <alignment horizontal="center"/>
    </xf>
    <xf numFmtId="0" fontId="48" fillId="21" borderId="7" xfId="0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48" fillId="20" borderId="7" xfId="0" applyFont="1" applyFill="1" applyBorder="1" applyAlignment="1">
      <alignment horizontal="center" vertical="center" wrapText="1"/>
    </xf>
    <xf numFmtId="0" fontId="44" fillId="0" borderId="9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37" fillId="0" borderId="9" xfId="0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43" fillId="20" borderId="7" xfId="0" applyFont="1" applyFill="1" applyBorder="1" applyAlignment="1">
      <alignment horizontal="center" vertical="center"/>
    </xf>
    <xf numFmtId="0" fontId="43" fillId="12" borderId="7" xfId="0" applyFont="1" applyFill="1" applyBorder="1" applyAlignment="1">
      <alignment horizontal="center"/>
    </xf>
    <xf numFmtId="0" fontId="43" fillId="19" borderId="7" xfId="0" applyFont="1" applyFill="1" applyBorder="1" applyAlignment="1">
      <alignment horizontal="center"/>
    </xf>
    <xf numFmtId="0" fontId="38" fillId="20" borderId="7" xfId="0" applyFont="1" applyFill="1" applyBorder="1" applyAlignment="1">
      <alignment horizontal="center" vertical="center"/>
    </xf>
    <xf numFmtId="0" fontId="38" fillId="12" borderId="7" xfId="0" applyFont="1" applyFill="1" applyBorder="1" applyAlignment="1">
      <alignment horizontal="center"/>
    </xf>
    <xf numFmtId="0" fontId="38" fillId="19" borderId="7" xfId="0" applyFont="1" applyFill="1" applyBorder="1" applyAlignment="1">
      <alignment horizontal="center"/>
    </xf>
    <xf numFmtId="0" fontId="33" fillId="3" borderId="1" xfId="0" applyFont="1" applyFill="1" applyBorder="1" applyAlignment="1">
      <alignment horizontal="justify" vertical="center" wrapText="1"/>
    </xf>
    <xf numFmtId="0" fontId="33" fillId="3" borderId="2" xfId="0" applyFont="1" applyFill="1" applyBorder="1" applyAlignment="1">
      <alignment horizontal="justify" vertical="center" wrapText="1"/>
    </xf>
    <xf numFmtId="0" fontId="34" fillId="3" borderId="1" xfId="0" applyFont="1" applyFill="1" applyBorder="1" applyAlignment="1">
      <alignment horizontal="justify" vertical="center" wrapText="1"/>
    </xf>
    <xf numFmtId="0" fontId="34" fillId="3" borderId="2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justify" vertical="top" wrapText="1"/>
    </xf>
    <xf numFmtId="0" fontId="9" fillId="3" borderId="2" xfId="0" applyFont="1" applyFill="1" applyBorder="1" applyAlignment="1">
      <alignment horizontal="justify" vertical="top" wrapText="1"/>
    </xf>
    <xf numFmtId="0" fontId="17" fillId="3" borderId="1" xfId="0" applyFont="1" applyFill="1" applyBorder="1" applyAlignment="1">
      <alignment vertical="top" wrapText="1"/>
    </xf>
    <xf numFmtId="0" fontId="17" fillId="3" borderId="2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17" fillId="3" borderId="1" xfId="0" applyFont="1" applyFill="1" applyBorder="1" applyAlignment="1">
      <alignment horizontal="left" vertical="top" wrapText="1"/>
    </xf>
    <xf numFmtId="0" fontId="17" fillId="3" borderId="2" xfId="0" applyFont="1" applyFill="1" applyBorder="1" applyAlignment="1">
      <alignment horizontal="left" vertical="top" wrapText="1"/>
    </xf>
  </cellXfs>
  <cellStyles count="8">
    <cellStyle name="Moneda [0] 2" xfId="7" xr:uid="{0B1D5D70-B41C-4E3C-A42B-D307195ADC78}"/>
    <cellStyle name="Normal" xfId="0" builtinId="0"/>
    <cellStyle name="Normal 2" xfId="3" xr:uid="{00000000-0005-0000-0000-000001000000}"/>
    <cellStyle name="Normal 2 2" xfId="1" xr:uid="{00000000-0005-0000-0000-000002000000}"/>
    <cellStyle name="Normal 2 2 2" xfId="2" xr:uid="{00000000-0005-0000-0000-000003000000}"/>
    <cellStyle name="Normal 4" xfId="4" xr:uid="{00000000-0005-0000-0000-000004000000}"/>
    <cellStyle name="Normal 4 10" xfId="5" xr:uid="{00000000-0005-0000-0000-000005000000}"/>
    <cellStyle name="Porcentaje" xfId="6" builtinId="5"/>
  </cellStyles>
  <dxfs count="0"/>
  <tableStyles count="0" defaultTableStyle="TableStyleMedium9" defaultPivotStyle="PivotStyleLight16"/>
  <colors>
    <mruColors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G85"/>
  <sheetViews>
    <sheetView topLeftCell="R65" zoomScaleNormal="100" workbookViewId="0">
      <selection activeCell="T94" sqref="T94"/>
    </sheetView>
  </sheetViews>
  <sheetFormatPr baseColWidth="10" defaultColWidth="11.42578125" defaultRowHeight="12.75" x14ac:dyDescent="0.2"/>
  <cols>
    <col min="1" max="4" width="11.42578125" style="19" customWidth="1"/>
    <col min="5" max="5" width="11.140625" style="19" customWidth="1"/>
    <col min="6" max="6" width="12.5703125" style="19" bestFit="1" customWidth="1"/>
    <col min="7" max="15" width="11.42578125" style="19" customWidth="1"/>
    <col min="16" max="16" width="11.42578125" style="83" customWidth="1"/>
    <col min="17" max="28" width="11.42578125" style="19" customWidth="1"/>
    <col min="29" max="29" width="31.42578125" style="19" customWidth="1"/>
    <col min="30" max="30" width="19.28515625" style="19" customWidth="1"/>
    <col min="31" max="31" width="14" style="19" customWidth="1"/>
    <col min="32" max="32" width="11.42578125" style="19" customWidth="1"/>
    <col min="33" max="33" width="18.5703125" style="19" customWidth="1"/>
    <col min="34" max="34" width="32.42578125" style="19" customWidth="1"/>
    <col min="35" max="35" width="22.42578125" style="19" customWidth="1"/>
    <col min="36" max="36" width="11.42578125" style="19" customWidth="1"/>
    <col min="37" max="37" width="18.5703125" style="19" customWidth="1"/>
    <col min="38" max="38" width="33.85546875" style="19" bestFit="1" customWidth="1"/>
    <col min="39" max="39" width="11.5703125" style="19" customWidth="1"/>
    <col min="40" max="40" width="13.7109375" style="19" customWidth="1"/>
    <col min="41" max="41" width="26.7109375" style="19" customWidth="1"/>
    <col min="42" max="42" width="15.140625" style="19" customWidth="1"/>
    <col min="43" max="43" width="12.85546875" style="19" customWidth="1"/>
    <col min="44" max="44" width="59.140625" style="19" customWidth="1"/>
    <col min="45" max="45" width="37.5703125" style="19" customWidth="1"/>
    <col min="46" max="46" width="18.140625" style="19" customWidth="1"/>
    <col min="47" max="47" width="27.7109375" style="19" customWidth="1"/>
    <col min="48" max="48" width="13.85546875" style="19" customWidth="1"/>
    <col min="49" max="49" width="27.7109375" style="19" customWidth="1"/>
    <col min="50" max="50" width="12.7109375" style="19" customWidth="1"/>
    <col min="51" max="53" width="14.42578125" style="19" customWidth="1"/>
    <col min="54" max="54" width="39.7109375" style="19" customWidth="1"/>
    <col min="55" max="55" width="24.42578125" style="19" customWidth="1"/>
    <col min="56" max="56" width="23.140625" style="19" customWidth="1"/>
    <col min="57" max="57" width="20.140625" style="19" customWidth="1"/>
    <col min="58" max="58" width="26.85546875" style="19" bestFit="1" customWidth="1"/>
    <col min="59" max="59" width="16" style="19" hidden="1" customWidth="1"/>
    <col min="60" max="16384" width="11.42578125" style="19"/>
  </cols>
  <sheetData>
    <row r="1" spans="1:59" customFormat="1" ht="42.75" customHeight="1" x14ac:dyDescent="0.25">
      <c r="A1" s="54" t="s">
        <v>0</v>
      </c>
      <c r="B1" s="54" t="s">
        <v>1</v>
      </c>
      <c r="C1" s="105" t="s">
        <v>2</v>
      </c>
      <c r="D1" s="105" t="s">
        <v>3</v>
      </c>
      <c r="E1" s="54" t="s">
        <v>1013</v>
      </c>
      <c r="F1" s="54" t="s">
        <v>1014</v>
      </c>
      <c r="G1" s="105" t="s">
        <v>479</v>
      </c>
      <c r="H1" s="105" t="s">
        <v>621</v>
      </c>
      <c r="I1" s="106" t="s">
        <v>656</v>
      </c>
      <c r="J1" s="107" t="s">
        <v>529</v>
      </c>
      <c r="K1" s="107" t="s">
        <v>530</v>
      </c>
      <c r="L1" s="106" t="s">
        <v>487</v>
      </c>
      <c r="M1" s="107" t="s">
        <v>4</v>
      </c>
      <c r="N1" s="108" t="s">
        <v>5</v>
      </c>
      <c r="O1" s="105" t="s">
        <v>6</v>
      </c>
      <c r="P1" s="105" t="s">
        <v>7</v>
      </c>
      <c r="Q1" s="54" t="s">
        <v>8</v>
      </c>
      <c r="R1" s="105" t="s">
        <v>602</v>
      </c>
      <c r="S1" s="105" t="s">
        <v>603</v>
      </c>
      <c r="T1" s="105" t="s">
        <v>604</v>
      </c>
      <c r="U1" s="105" t="s">
        <v>9</v>
      </c>
      <c r="V1" s="105" t="s">
        <v>715</v>
      </c>
      <c r="W1" s="105" t="s">
        <v>716</v>
      </c>
      <c r="X1" s="105" t="s">
        <v>717</v>
      </c>
      <c r="Y1" s="105" t="s">
        <v>718</v>
      </c>
      <c r="Z1" s="105" t="s">
        <v>719</v>
      </c>
      <c r="AA1" s="105" t="s">
        <v>720</v>
      </c>
      <c r="AB1" s="105" t="s">
        <v>721</v>
      </c>
      <c r="AC1" s="114" t="s">
        <v>1015</v>
      </c>
      <c r="AD1" s="114" t="s">
        <v>1016</v>
      </c>
      <c r="AE1" s="63" t="s">
        <v>0</v>
      </c>
      <c r="AF1" s="63" t="s">
        <v>524</v>
      </c>
      <c r="AG1" s="65" t="s">
        <v>742</v>
      </c>
      <c r="AH1" s="66" t="s">
        <v>596</v>
      </c>
      <c r="AI1" s="63" t="s">
        <v>286</v>
      </c>
      <c r="AJ1" s="62" t="s">
        <v>45</v>
      </c>
      <c r="AK1" s="63" t="s">
        <v>46</v>
      </c>
      <c r="AL1" s="63" t="s">
        <v>621</v>
      </c>
      <c r="AM1" s="63" t="s">
        <v>651</v>
      </c>
      <c r="AN1" s="63" t="s">
        <v>529</v>
      </c>
      <c r="AO1" s="63" t="s">
        <v>530</v>
      </c>
      <c r="AP1" s="64" t="s">
        <v>487</v>
      </c>
      <c r="AQ1" s="64" t="s">
        <v>4</v>
      </c>
      <c r="AR1" s="64" t="s">
        <v>5</v>
      </c>
      <c r="AS1" s="64" t="s">
        <v>6</v>
      </c>
      <c r="AT1" s="64" t="s">
        <v>7</v>
      </c>
      <c r="AU1" s="64" t="s">
        <v>8</v>
      </c>
      <c r="AV1" s="64" t="s">
        <v>602</v>
      </c>
      <c r="AW1" s="64" t="s">
        <v>603</v>
      </c>
      <c r="AX1" s="64" t="s">
        <v>604</v>
      </c>
      <c r="AY1" s="64" t="s">
        <v>9</v>
      </c>
      <c r="AZ1" s="64" t="s">
        <v>715</v>
      </c>
      <c r="BA1" s="64" t="s">
        <v>716</v>
      </c>
      <c r="BB1" s="64" t="s">
        <v>717</v>
      </c>
      <c r="BC1" s="64" t="s">
        <v>718</v>
      </c>
      <c r="BD1" s="64" t="s">
        <v>719</v>
      </c>
      <c r="BE1" s="64" t="s">
        <v>720</v>
      </c>
      <c r="BF1" s="64" t="s">
        <v>721</v>
      </c>
      <c r="BG1" s="53">
        <v>46022</v>
      </c>
    </row>
    <row r="2" spans="1:59" x14ac:dyDescent="0.2">
      <c r="A2" s="81" t="s">
        <v>1193</v>
      </c>
      <c r="B2" s="101" t="s">
        <v>81</v>
      </c>
      <c r="C2" s="83">
        <v>18328984</v>
      </c>
      <c r="D2" s="84">
        <v>5</v>
      </c>
      <c r="E2" s="82" t="s">
        <v>1194</v>
      </c>
      <c r="F2" s="82" t="s">
        <v>1195</v>
      </c>
      <c r="G2" s="82" t="s">
        <v>1196</v>
      </c>
      <c r="H2" s="82" t="s">
        <v>654</v>
      </c>
      <c r="I2" s="82" t="s">
        <v>655</v>
      </c>
      <c r="J2" s="84">
        <v>80</v>
      </c>
      <c r="K2" s="57" t="s">
        <v>556</v>
      </c>
      <c r="L2" s="57" t="s">
        <v>495</v>
      </c>
      <c r="M2" s="82" t="s">
        <v>18</v>
      </c>
      <c r="N2" s="85">
        <v>45664</v>
      </c>
      <c r="O2" s="86">
        <v>15</v>
      </c>
      <c r="P2" s="99">
        <v>1</v>
      </c>
      <c r="Q2" s="81" t="s">
        <v>23</v>
      </c>
      <c r="R2" s="81" t="s">
        <v>11</v>
      </c>
      <c r="S2" s="81" t="s">
        <v>23</v>
      </c>
      <c r="T2" s="19">
        <v>15</v>
      </c>
      <c r="U2" s="81" t="s">
        <v>11</v>
      </c>
      <c r="V2" s="81" t="s">
        <v>11</v>
      </c>
      <c r="W2" s="81" t="s">
        <v>11</v>
      </c>
      <c r="X2" s="87">
        <v>0</v>
      </c>
      <c r="Y2" s="88" t="s">
        <v>730</v>
      </c>
      <c r="Z2" s="89">
        <v>0</v>
      </c>
      <c r="AA2" s="88">
        <v>0</v>
      </c>
      <c r="AB2" s="89">
        <v>0</v>
      </c>
      <c r="AC2" s="186" t="str">
        <f>IF(OR(M2="13",M2="14",P2=8),"",IF(     AND(OR(S2="AUTORIZADO", S2="PENDIENTE", S2="REDUCIDO", S2="AMPLIADO"),L2&lt;&gt;"HONORARIO" ), _xlfn.CONCAT(IF(H2="X","H",H2),"_",IF(OR(P2=5,P2=6),_xlfn.CONCAT(P2,"A"),P2),"_",VLOOKUP(T2,Datos!$B$2:$C$5,2,TRUE)),""))</f>
        <v>H_1_[11 +]</v>
      </c>
      <c r="AD2" s="186">
        <f>IF(AC2="",0,AA2+AB2)</f>
        <v>0</v>
      </c>
      <c r="AE2" s="90" t="str">
        <f>IF(A2="","Celda vacía",IF(A2="L","-","Revisar"))</f>
        <v>-</v>
      </c>
      <c r="AF2" s="91" t="str">
        <f>IF(B2="","Celda vacía",IF(LEN(B2)=4,REPLACE(B2,1,6,CONCATENATE("00",B2)),IF(LEN(B2)=5,REPLACE(B2,1,6,CONCATENATE("0",B2)),IF(LEN(B2)=6,REPLACE(B2,1,6,B2),IF(AND(LEN(B2)&gt;6,OR(LEFT(B2,4)="1202", LEFT(B2,4)="1703")),REPLACE(B2,1,LEN(B2),B2),"Revisar")))))</f>
        <v>071901</v>
      </c>
      <c r="AG2" s="92"/>
      <c r="AH2" s="93" t="str">
        <f t="shared" ref="AH2" si="0">IF(B2="","Celda Vacía",IF(ISERROR(IF(B2="","",VLOOKUP(B2,Codigo,3,0))),"Corregir código servicio",IF(B2="","",VLOOKUP(B2,Codigo,3,0))))</f>
        <v>Comité Innova Chile</v>
      </c>
      <c r="AI2" s="90" t="str">
        <f>IF(C2="","Celda vacía",IF(C2&gt;1000000,"-","Revisar con Edad"))</f>
        <v>-</v>
      </c>
      <c r="AJ2" s="90">
        <f>IF(D2="","Celda vacía",IF(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=10,"K",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))</f>
        <v>5</v>
      </c>
      <c r="AK2" s="90" t="str">
        <f>IF(C2="","Celda vacía",IF(C2="E","-",IF(IF(AJ2=11,0,IF(AJ2=10,"K",AJ2))=D2,"-","Corregir RUN")))</f>
        <v>-</v>
      </c>
      <c r="AL2" s="90" t="str">
        <f>IF(H2="","Celda vacía",IF(OR(H2="M",H2="H",H2="X"),  IF(H2="M", "Identifica este registro como MUJER",  IF(H2="H","Identifica este registro como HOMBRE", IF(H2="X","Identifica este registro como NO BINARIO"))),  "Validar con Tabla N°01")   )</f>
        <v>Identifica este registro como HOMBRE</v>
      </c>
      <c r="AM2" s="90" t="str">
        <f t="shared" ref="AM2" si="1">IF(I2="","Celda vacía",IF(ISERROR(VLOOKUP(I2,Tabla_27_Matriz_Base,1,0)),"Revisar","-"))</f>
        <v>-</v>
      </c>
      <c r="AN2" s="90" t="str">
        <f t="shared" ref="AN2" si="2">IF(J2="","Celda vacía",IF(ISERROR(VLOOKUP(J2,Tabla_04_Sist.Rem,1,0)),"Revisar","-"))</f>
        <v>-</v>
      </c>
      <c r="AO2" s="90" t="str">
        <f t="shared" ref="AO2" si="3">IF(J2="","SIST_REM vacío, no permite validar estamento",IF(OR(J2=10,J2=40,J2=60,J2=70),IF(ISERROR(VLOOKUP(K2,Tabla_06_10_40_60_70_EUS,1,0)),"Revisar. Estamento no corresponde a sist. Rem.","-"),
IF(AND(A2="l",J2=11,K2="DIRECTIVO"),"Dual",
IF(OR(J2=11,J2=12),IF(ISERROR(VLOOKUP(K2,Tabla_06_11_12_15076_19664,1,0)),"Revisar. Estamento no corresponde a sist. Rem.","-"),
IF(J2=13,IF(ISERROR(VLOOKUP(K2,Tabla_06_13,1,0)),"Revisar. Estamento no corresponde a sist. Rem.","-"),
IF(J2=14,IF(ISERROR(VLOOKUP(K2,Tabla_06_14,1,0)),"Revisar. Estamento no corresponde a sist. Rem.","-"),
IF(J2=15,IF(ISERROR(VLOOKUP(K2,Tabla_06_15,1,0)),"Revisar. Estamento no corresponde a sist. Rem.","-"),
IF(OR(J2=90),IF(ISERROR(VLOOKUP(K2,Tabla_06_90_Personal_Fuera_de_Dotacion,1,0)),"Revisar. Estamento no corresponde a sist. Rem.","-"),
IF(J2=61,IF(ISERROR(VLOOKUP(K2,Tabla_06_DFL29_61_Experimentales,1,0)),"Revisar. Estamento no corresponde a sist. Rem.","-"),IF(J2=20,IF(ISERROR(VLOOKUP(K2,Tabla_06_20_Fiscalizadores,1,0)),"Revisar. Estamento no corresponde a sist. Rem.","-"),IF(J2=80,IF(ISERROR(VLOOKUP(K2,Tabla_06_80_Codigo_del_Trabajo,1,0)),"Revisar. Estamento no corresponde a sist. Rem.","-"),                    IF(J2=30,IF(ISERROR(VLOOKUP(K2,Tabla_06_30_Poder_Judicial,1,0)),"Revisar. Estamento no corresponde a sist. Rem.","-"),IF(ISERROR(VLOOKUP(K2,Tabla_06_50_Ministerio_Publico,1,0)),"Revisar","-")))))))))))))</f>
        <v>-</v>
      </c>
      <c r="AP2" s="58" t="str">
        <f t="shared" ref="AP2" si="4">IF(L2="","Celda vacía",IF(ISERROR(VLOOKUP(L2,Tabla_Personal,1,0)),"Revisar","-"))</f>
        <v>-</v>
      </c>
      <c r="AQ2" s="94" t="str">
        <f t="shared" ref="AQ2" si="5">IF(M2="","Celda vacía",IF(ISERROR(VLOOKUP(M2,Tabla_01_Mes,1,0)),"Revisar","-"))</f>
        <v>-</v>
      </c>
      <c r="AR2" s="94" t="str">
        <f>IF(N2="","PRIMER_DIA en blanco",
IF(AND(M2="01",N2&gt;=L_Conversion!$C$118,N2&lt;=L_Conversion!$D$118),"-",
IF(AND(M2="02",N2&gt;=L_Conversion!$C$119,N2&lt;=L_Conversion!$D$119),"-",
IF(AND(M2="03",N2&gt;=L_Conversion!$C$120,N2&lt;=L_Conversion!$D$120),"-",
IF(AND(M2="04",N2&gt;=L_Conversion!$C$121,N2&lt;=L_Conversion!$D$121),"-",
IF(AND(M2="05",N2&gt;=L_Conversion!$C$122,N2&lt;=L_Conversion!$D$122),"-",
IF(AND(M2="06",N2&gt;=L_Conversion!$C$123,N2&lt;=L_Conversion!$D$123),"-",
IF(AND(M2="07",N2&gt;=L_Conversion!$C$124,N2&lt;=L_Conversion!$D$124),"-",
IF(AND(M2="08",N2&gt;=L_Conversion!$C$125,N2&lt;=L_Conversion!$D$125),"-",
IF(AND(M2="09",N2&gt;=L_Conversion!$C$126,N2&lt;=L_Conversion!$D$126),"-",
IF(AND(M2="10",N2&gt;=L_Conversion!$C$127,N2&lt;=L_Conversion!$D$127),"-",
IF(AND(M2="11",N2&gt;=L_Conversion!$C$128,N2&lt;=L_Conversion!$D$128),"-",
IF(AND(M2="12",N2&gt;=L_Conversion!$C$129,N2&lt;=L_Conversion!$D$129),"-",
IF(AND(M2="13",N2&gt;=L_Conversion!$C$116,N2&lt;=L_Conversion!$D$116),"-",
IF(AND(M2="14",N2&gt;=L_Conversion!$C$117,N2&lt;=L_Conversion!$D$117),"-",
"PRIMER_DIA fuera de rango")))))))))))))))</f>
        <v>-</v>
      </c>
      <c r="AS2" s="94" t="str">
        <f t="shared" ref="AS2" si="6">IF(O2="","Celda vacía",IF(AND(ISERROR(VLOOKUP(P2,Tabla_18_Tipos_licencias,1,FALSE))=FALSE,O2&gt;=0,O2&lt;=365),IF(P2=8,IF(H2="M",IF(ISERROR(VLOOKUP(O2,Dias_Licencia_Tipo_8_M,1,0)),"Revisar días licencia tipo 8","-"),IF(ISERROR(VLOOKUP(O2,Dias_licencia_tipo_8_H,1,0)),"Revisar días licencia tipo 8","-")),"-"),"Se debe revisar los campos TIPO_LM y N_DIAS"))</f>
        <v>-</v>
      </c>
      <c r="AT2" s="94" t="str">
        <f t="shared" ref="AT2" si="7">IF(P2="","Celda vacía",IF(ISERROR(VLOOKUP(P2,Tabla_18_Tipos_licencias,1,FALSE))=FALSE,IF(H2="M","-",IF(P2=7,"Revisar","-")),"Revisar"))</f>
        <v>-</v>
      </c>
      <c r="AU2" s="94" t="str">
        <f t="shared" ref="AU2" si="8">IF(Q2="","Celda vacía",IF(AND(OR(L2="HAG",L2="HONORARIO"),OR(Q2="AUTORIZADO",Q2="REDUCIDO",Q2="RECHAZADO",Q2="PENDIENTE",Q2="AMPLIADO")),"Revisar Calidad Jurídica",IF(AND(OR(L2="HAG",L2="HONORARIO"),Q2="NC"),"-",IF(ISERROR(VLOOKUP(Q2,Tabla_04_Estado_Resolucion,1,0)),"Revisar",IF(AND(Q2="PENDIENTE",($BG$1-N2)&gt;60),"Validar estado PENDIENTE",  IF(AND(OR(L2="CONTRATA",L2="PLANTA", L2="CT", L2="JP", L2="JORNAL", L2="CONTRATA_FD", L2="CT_FD", L2="ADSCRITO", L2="LGN", L2="VIGILANTE", L2="BECARIOS", L2="PLANTA_FD"),Q2&lt;&gt;"NC"),"-","Revisar Calidad Jurídica"))))))</f>
        <v>-</v>
      </c>
      <c r="AV2" s="94" t="str">
        <f>IF(R2="","Celda vacía",IF(AND(OR(Q2="AUTORIZADO",Q2="PENDIENTE",Q2="NC",Q2="AMPLIADO"),R2="N"),"-",IF(AND(OR(Q2="REDUCIDO",Q2="RECHAZADO"),OR(R2="S",R2="N")),"-","Revisar")))</f>
        <v>-</v>
      </c>
      <c r="AW2" s="94" t="str">
        <f>IF(Q2="","Celda vacía",IF(AND(R2="N",Q2=S2),"-",IF(AND(S2="PENDIENTE",($BG$1-N2)&gt;60),"Validar estado PENDIENTE",IF(AND(R2="S",OR(S2="AUTORIZADO",S2="PENDIENTE"),T2=O2),"-",IF(AND(R2="S",S2="REDUCIDO",T2&lt;O2,T2&gt;0),"-",IF(AND(R2="S",S2="RECHAZADO",T2=0),"-",IF(AND(Q2="NC",S2="NC",T2=O2),"-","Revisar")))))))</f>
        <v>-</v>
      </c>
      <c r="AX2" s="94" t="str">
        <f>IF(T2="","Celda Vacía",IF(AND(OR(S2="AUTORIZADO",S2="PENDIENTE",S2="NC"),O2=T2),"-",IF(AND(S2="REDUCIDO",T2&gt;0,T2&lt;O2),"-",IF(AND(S2="RECHAZADO",T2=0),"-",   IF(AND(S2="AMPLIADO",T2&gt;O2),"-",       "Revisar" )))))</f>
        <v>-</v>
      </c>
      <c r="AY2" s="94" t="str">
        <f>IF(U2="","Celda vacía",IF(OR(U2="S",U2="N"),"-","Revisar"))</f>
        <v>-</v>
      </c>
      <c r="AZ2" s="94" t="str">
        <f>IF(V2="","Celda vacía",IF(OR(V2="S",V2="N"),"-","Revisar"))</f>
        <v>-</v>
      </c>
      <c r="BA2" s="94" t="str">
        <f>IF(W2="","Celda vacía",IF(OR(W2="S",W2="N"),"-","Revisar"))</f>
        <v>-</v>
      </c>
      <c r="BB2" s="94" t="str">
        <f>IF(X2="","Celda Vacia",IF(  OR(          AND(X2=0,W2="S"),AND(X2&lt;&gt;0,W2="N")),"Revisar valor del campo MONTO_SUB","-"))</f>
        <v>-</v>
      </c>
      <c r="BC2" s="94" t="str">
        <f t="shared" ref="BC2" si="9">IF(Y2="","Celda Vacia",IF(ISERROR(VLOOKUP(Y2,Tabla_33_estado_recuperacion,1,FALSE)),"Se debe corregir el valor según Tabla Nro 33",IF(Y2="SDR",IF(OR(S2="RECHAZADO",W2="N"),"-","Se debe revisar  ESTADO SDR"),IF(Y2="PEN",IF(OR(S2="AUTORIZADO",S2="REDUCIDO",S2="PENDIENTE"),"-","Se debe revisar ESTADO PEN"),IF(AND(OR(W2="S",W2="N"),OR(Y2="TOT",Y2="PAR"),OR(S2="AUTORIZADO",S2="REDUCIDO")),"-","Revisar ER2 Y ESTADO_REC")))))</f>
        <v>-</v>
      </c>
      <c r="BD2" s="94" t="str">
        <f>IF(Z2="","Celda Vacia", IF(Z2&gt;T2,"Dias recuperados no puede ser mayor a dias autorizados", IF(ISNUMBER(Z2)=TRUE,IF(Z2=0,IF(OR(Y2="SDR",Y2="PEN"),"-",IF(AND(T2&lt;4,OR(Y2="TOT",Y2="PAR")),"-","Se debe revisar los Campos N_DIAS_REC y ESTADO_REC")),IF(AND(Z2&gt;0,Z2&lt;366,OR(Y2="TOT",Y2="PAR")),"-","Se debe revisar los campos ESTADO_REC y N_DIAS_REC")),"Valor del campo N_DIAS_REC no es numérico"))    )</f>
        <v>-</v>
      </c>
      <c r="BE2" s="94" t="str">
        <f>IF(AA2="","Celda vacia",
IF( AND(AA2=0,(OR(Y2="PEN",Y2="SDR"))),"-",
IF(AND(T2&lt;4,OR(P2="5A",P2="5B",P2="6A",P2="6B"),AA2&gt;=0),"-",
IF(AND(T2&lt;4,P2&lt;&gt;"5A",P2&lt;&gt;"5B",P2&lt;&gt;"6A",P2&lt;&gt;"6B",AA2=0),"-",
IF(AND(T2&lt;4,P2&lt;&gt;"5A",P2&lt;&gt;"5B",P2&lt;&gt;"6A",P2&lt;&gt;"6B",V2="S",AA2&gt;=0),"-",
IF(AND(T2&gt;=4,AA2&gt;0, OR(Y2="TOT",Y2="PAR")),"-",
"Revisar el tipo de licencia medica, dias de licencia para el monto de recuperación declarado"))))))</f>
        <v>-</v>
      </c>
      <c r="BF2" s="94" t="str">
        <f>IF(AB2="","Celda vacia",IF(ISNUMBER(AB2)=TRUE,IF(AB2=0,IF(OR(Y2="PEN",Y2="SDR"),"-","revisar "),IF(OR(Y2="TOT",Y2="PAR"),"-","Revisar")),"Valor del campo no es numérico"))</f>
        <v>-</v>
      </c>
      <c r="BG2" s="186" t="str">
        <f>IF(OR(AQ2="13",AQ2="14",AT2=8),"",IF(     AND(OR(AW2="AUTORIZADO", AW2="PENDIENTE", AW2="REDUCIDO", AW2="AMPLIADO"),AP2&lt;&gt;"HONORARIO" ), _xlfn.CONCAT(IF(AL2="X","H",AL2),"_",IF(OR(AT2=5,AT2=6),_xlfn.CONCAT(AT2,"A"),AT2),"_",VLOOKUP(AX2,Datos!$B$2:$C$5,2,TRUE)),""))</f>
        <v/>
      </c>
    </row>
    <row r="3" spans="1:59" x14ac:dyDescent="0.2">
      <c r="A3" s="19" t="s">
        <v>1193</v>
      </c>
      <c r="B3" s="19" t="s">
        <v>81</v>
      </c>
      <c r="C3" s="19">
        <v>10667993</v>
      </c>
      <c r="D3" s="19">
        <v>2</v>
      </c>
      <c r="E3" s="19" t="s">
        <v>1197</v>
      </c>
      <c r="F3" s="19" t="s">
        <v>1198</v>
      </c>
      <c r="G3" s="19" t="s">
        <v>1199</v>
      </c>
      <c r="H3" s="19" t="s">
        <v>1018</v>
      </c>
      <c r="I3" s="19" t="s">
        <v>653</v>
      </c>
      <c r="J3" s="19">
        <v>80</v>
      </c>
      <c r="K3" s="19" t="s">
        <v>560</v>
      </c>
      <c r="L3" s="19" t="s">
        <v>495</v>
      </c>
      <c r="M3" s="19" t="s">
        <v>18</v>
      </c>
      <c r="N3" s="19">
        <v>45671</v>
      </c>
      <c r="O3" s="19">
        <v>3</v>
      </c>
      <c r="P3" s="83" t="s">
        <v>740</v>
      </c>
      <c r="Q3" s="19" t="s">
        <v>23</v>
      </c>
      <c r="R3" s="19" t="s">
        <v>11</v>
      </c>
      <c r="S3" s="19" t="s">
        <v>23</v>
      </c>
      <c r="T3" s="19">
        <v>3</v>
      </c>
      <c r="U3" s="19" t="s">
        <v>11</v>
      </c>
      <c r="V3" s="19" t="s">
        <v>19</v>
      </c>
      <c r="W3" s="19" t="s">
        <v>19</v>
      </c>
      <c r="X3" s="19">
        <v>133734</v>
      </c>
      <c r="Y3" s="19" t="s">
        <v>726</v>
      </c>
      <c r="Z3" s="19">
        <v>3</v>
      </c>
      <c r="AA3" s="19">
        <v>133734</v>
      </c>
      <c r="AB3" s="19">
        <v>133734</v>
      </c>
      <c r="AC3" s="186" t="str">
        <f>IF(OR(M3="13",M3="14",P3=8),"",IF(     AND(OR(S3="AUTORIZADO", S3="PENDIENTE", S3="REDUCIDO", S3="AMPLIADO"),L3&lt;&gt;"HONORARIO" ), _xlfn.CONCAT(IF(H3="X","H",H3),"_",IF(OR(P3=5,P3=6),_xlfn.CONCAT(P3,"A"),P3),"_",VLOOKUP(T3,Datos!$B$2:$C$5,2,TRUE)),""))</f>
        <v>M_6B_[hasta 3]</v>
      </c>
      <c r="AD3" s="186">
        <f t="shared" ref="AD3:AD66" si="10">IF(AC3="",0,AA3+AB3)</f>
        <v>267468</v>
      </c>
      <c r="AE3" s="90" t="str">
        <f t="shared" ref="AE3:AE66" si="11">IF(A3="","Celda vacía",IF(A3="L","-","Revisar"))</f>
        <v>-</v>
      </c>
      <c r="AF3" s="91" t="str">
        <f t="shared" ref="AF3:AF66" si="12">IF(B3="","Celda vacía",IF(LEN(B3)=4,REPLACE(B3,1,6,CONCATENATE("00",B3)),IF(LEN(B3)=5,REPLACE(B3,1,6,CONCATENATE("0",B3)),IF(LEN(B3)=6,REPLACE(B3,1,6,B3),IF(AND(LEN(B3)&gt;6,OR(LEFT(B3,4)="1202", LEFT(B3,4)="1703")),REPLACE(B3,1,LEN(B3),B3),"Revisar")))))</f>
        <v>071901</v>
      </c>
      <c r="AG3" s="92"/>
      <c r="AH3" s="93" t="str">
        <f t="shared" ref="AH3:AH66" si="13">IF(B3="","Celda Vacía",IF(ISERROR(IF(B3="","",VLOOKUP(B3,Codigo,3,0))),"Corregir código servicio",IF(B3="","",VLOOKUP(B3,Codigo,3,0))))</f>
        <v>Comité Innova Chile</v>
      </c>
      <c r="AI3" s="90" t="str">
        <f t="shared" ref="AI3:AI66" si="14">IF(C3="","Celda vacía",IF(C3&gt;1000000,"-","Revisar con Edad"))</f>
        <v>-</v>
      </c>
      <c r="AJ3" s="90">
        <f t="shared" ref="AJ3:AJ66" si="15">IF(D3="","Celda vacía",IF(IF(IF(LEN(C3)=6,(11-((RIGHT(C3,1)*2+MID(C3,5,1)*3+MID(C3,4,1)*4+MID(C3,3,1)*5+MID(C3,2,1)*6+LEFT(C3,1)*7)-(INT((RIGHT(C3,1)*2+MID(C3,5,1)*3+MID(C3,4,1)*4+MID(C3,3,1)*5+MID(C3,2,1)*6+LEFT(C3,1)*7)/11)*11))),IF(LEN(C3)=7,(11-((RIGHT(C3,1)*2+MID(C3,6,1)*3+MID(C3,5,1)*4+MID(C3,4,1)*5+MID(C3,3,1)*6+MID(C3,2,1)*7+LEFT(C3,1)*2)-(INT((RIGHT(C3,1)*2+MID(C3,6,1)*3+MID(C3,5,1)*4+MID(C3,4,1)*5+MID(C3,3,1)*6+MID(C3,2,1)*7+LEFT(C3,1)*2)/11)*11))),(11-((RIGHT(C3,1)*2+MID(C3,7,1)*3+MID(C3,6,1)*4+MID(C3,5,1)*5+MID(C3,4,1)*6+MID(C3,3,1)*7+MID(C3,2,1)*2+LEFT(C3,1)*3)-(INT((RIGHT(C3,1)*2+MID(C3,7,1)*3+MID(C3,6,1)*4+MID(C3,5,1)*5+MID(C3,4,1)*6+MID(C3,3,1)*7+MID(C3,2,1)*2+LEFT(C3,1)*3)/11)*11)))))=11,0,IF(LEN(C3)=6,(11-((RIGHT(C3,1)*2+MID(C3,5,1)*3+MID(C3,4,1)*4+MID(C3,3,1)*5+MID(C3,2,1)*6+LEFT(C3,1)*7)-(INT((RIGHT(C3,1)*2+MID(C3,5,1)*3+MID(C3,4,1)*4+MID(C3,3,1)*5+MID(C3,2,1)*6+LEFT(C3,1)*7)/11)*11))),IF(LEN(C3)=7,(11-((RIGHT(C3,1)*2+MID(C3,6,1)*3+MID(C3,5,1)*4+MID(C3,4,1)*5+MID(C3,3,1)*6+MID(C3,2,1)*7+LEFT(C3,1)*2)-(INT((RIGHT(C3,1)*2+MID(C3,6,1)*3+MID(C3,5,1)*4+MID(C3,4,1)*5+MID(C3,3,1)*6+MID(C3,2,1)*7+LEFT(C3,1)*2)/11)*11))),(11-((RIGHT(C3,1)*2+MID(C3,7,1)*3+MID(C3,6,1)*4+MID(C3,5,1)*5+MID(C3,4,1)*6+MID(C3,3,1)*7+MID(C3,2,1)*2+LEFT(C3,1)*3)-(INT((RIGHT(C3,1)*2+MID(C3,7,1)*3+MID(C3,6,1)*4+MID(C3,5,1)*5+MID(C3,4,1)*6+MID(C3,3,1)*7+MID(C3,2,1)*2+LEFT(C3,1)*3)/11)*11))))))=10,"K",IF(IF(LEN(C3)=6,(11-((RIGHT(C3,1)*2+MID(C3,5,1)*3+MID(C3,4,1)*4+MID(C3,3,1)*5+MID(C3,2,1)*6+LEFT(C3,1)*7)-(INT((RIGHT(C3,1)*2+MID(C3,5,1)*3+MID(C3,4,1)*4+MID(C3,3,1)*5+MID(C3,2,1)*6+LEFT(C3,1)*7)/11)*11))),IF(LEN(C3)=7,(11-((RIGHT(C3,1)*2+MID(C3,6,1)*3+MID(C3,5,1)*4+MID(C3,4,1)*5+MID(C3,3,1)*6+MID(C3,2,1)*7+LEFT(C3,1)*2)-(INT((RIGHT(C3,1)*2+MID(C3,6,1)*3+MID(C3,5,1)*4+MID(C3,4,1)*5+MID(C3,3,1)*6+MID(C3,2,1)*7+LEFT(C3,1)*2)/11)*11))),(11-((RIGHT(C3,1)*2+MID(C3,7,1)*3+MID(C3,6,1)*4+MID(C3,5,1)*5+MID(C3,4,1)*6+MID(C3,3,1)*7+MID(C3,2,1)*2+LEFT(C3,1)*3)-(INT((RIGHT(C3,1)*2+MID(C3,7,1)*3+MID(C3,6,1)*4+MID(C3,5,1)*5+MID(C3,4,1)*6+MID(C3,3,1)*7+MID(C3,2,1)*2+LEFT(C3,1)*3)/11)*11)))))=11,0,IF(LEN(C3)=6,(11-((RIGHT(C3,1)*2+MID(C3,5,1)*3+MID(C3,4,1)*4+MID(C3,3,1)*5+MID(C3,2,1)*6+LEFT(C3,1)*7)-(INT((RIGHT(C3,1)*2+MID(C3,5,1)*3+MID(C3,4,1)*4+MID(C3,3,1)*5+MID(C3,2,1)*6+LEFT(C3,1)*7)/11)*11))),IF(LEN(C3)=7,(11-((RIGHT(C3,1)*2+MID(C3,6,1)*3+MID(C3,5,1)*4+MID(C3,4,1)*5+MID(C3,3,1)*6+MID(C3,2,1)*7+LEFT(C3,1)*2)-(INT((RIGHT(C3,1)*2+MID(C3,6,1)*3+MID(C3,5,1)*4+MID(C3,4,1)*5+MID(C3,3,1)*6+MID(C3,2,1)*7+LEFT(C3,1)*2)/11)*11))),(11-((RIGHT(C3,1)*2+MID(C3,7,1)*3+MID(C3,6,1)*4+MID(C3,5,1)*5+MID(C3,4,1)*6+MID(C3,3,1)*7+MID(C3,2,1)*2+LEFT(C3,1)*3)-(INT((RIGHT(C3,1)*2+MID(C3,7,1)*3+MID(C3,6,1)*4+MID(C3,5,1)*5+MID(C3,4,1)*6+MID(C3,3,1)*7+MID(C3,2,1)*2+LEFT(C3,1)*3)/11)*11))))))))</f>
        <v>2</v>
      </c>
      <c r="AK3" s="90" t="str">
        <f t="shared" ref="AK3:AK66" si="16">IF(C3="","Celda vacía",IF(C3="E","-",IF(IF(AJ3=11,0,IF(AJ3=10,"K",AJ3))=D3,"-","Corregir RUN")))</f>
        <v>-</v>
      </c>
      <c r="AL3" s="90" t="str">
        <f t="shared" ref="AL3:AL66" si="17">IF(H3="","Celda vacía",IF(OR(H3="M",H3="H",H3="X"),  IF(H3="M", "Identifica este registro como MUJER",  IF(H3="H","Identifica este registro como HOMBRE", IF(H3="X","Identifica este registro como NO BINARIO"))),  "Validar con Tabla N°01")   )</f>
        <v>Identifica este registro como MUJER</v>
      </c>
      <c r="AM3" s="90" t="str">
        <f t="shared" ref="AM3:AM66" si="18">IF(I3="","Celda vacía",IF(ISERROR(VLOOKUP(I3,Tabla_27_Matriz_Base,1,0)),"Revisar","-"))</f>
        <v>-</v>
      </c>
      <c r="AN3" s="90" t="str">
        <f t="shared" ref="AN3:AN66" si="19">IF(J3="","Celda vacía",IF(ISERROR(VLOOKUP(J3,Tabla_04_Sist.Rem,1,0)),"Revisar","-"))</f>
        <v>-</v>
      </c>
      <c r="AO3" s="90" t="str">
        <f t="shared" ref="AO3:AO66" si="20">IF(J3="","SIST_REM vacío, no permite validar estamento",IF(OR(J3=10,J3=40,J3=60,J3=70),IF(ISERROR(VLOOKUP(K3,Tabla_06_10_40_60_70_EUS,1,0)),"Revisar. Estamento no corresponde a sist. Rem.","-"),
IF(AND(A3="l",J3=11,K3="DIRECTIVO"),"Dual",
IF(OR(J3=11,J3=12),IF(ISERROR(VLOOKUP(K3,Tabla_06_11_12_15076_19664,1,0)),"Revisar. Estamento no corresponde a sist. Rem.","-"),
IF(J3=13,IF(ISERROR(VLOOKUP(K3,Tabla_06_13,1,0)),"Revisar. Estamento no corresponde a sist. Rem.","-"),
IF(J3=14,IF(ISERROR(VLOOKUP(K3,Tabla_06_14,1,0)),"Revisar. Estamento no corresponde a sist. Rem.","-"),
IF(J3=15,IF(ISERROR(VLOOKUP(K3,Tabla_06_15,1,0)),"Revisar. Estamento no corresponde a sist. Rem.","-"),
IF(OR(J3=90),IF(ISERROR(VLOOKUP(K3,Tabla_06_90_Personal_Fuera_de_Dotacion,1,0)),"Revisar. Estamento no corresponde a sist. Rem.","-"),
IF(J3=61,IF(ISERROR(VLOOKUP(K3,Tabla_06_DFL29_61_Experimentales,1,0)),"Revisar. Estamento no corresponde a sist. Rem.","-"),IF(J3=20,IF(ISERROR(VLOOKUP(K3,Tabla_06_20_Fiscalizadores,1,0)),"Revisar. Estamento no corresponde a sist. Rem.","-"),IF(J3=80,IF(ISERROR(VLOOKUP(K3,Tabla_06_80_Codigo_del_Trabajo,1,0)),"Revisar. Estamento no corresponde a sist. Rem.","-"),                    IF(J3=30,IF(ISERROR(VLOOKUP(K3,Tabla_06_30_Poder_Judicial,1,0)),"Revisar. Estamento no corresponde a sist. Rem.","-"),IF(ISERROR(VLOOKUP(K3,Tabla_06_50_Ministerio_Publico,1,0)),"Revisar","-")))))))))))))</f>
        <v>-</v>
      </c>
      <c r="AP3" s="58" t="str">
        <f t="shared" ref="AP3:AP66" si="21">IF(L3="","Celda vacía",IF(ISERROR(VLOOKUP(L3,Tabla_Personal,1,0)),"Revisar","-"))</f>
        <v>-</v>
      </c>
      <c r="AQ3" s="94" t="str">
        <f t="shared" ref="AQ3:AQ66" si="22">IF(M3="","Celda vacía",IF(ISERROR(VLOOKUP(M3,Tabla_01_Mes,1,0)),"Revisar","-"))</f>
        <v>-</v>
      </c>
      <c r="AR3" s="94" t="str">
        <f>IF(N3="","PRIMER_DIA en blanco",
IF(AND(M3="01",N3&gt;=L_Conversion!$C$118,N3&lt;=L_Conversion!$D$118),"-",
IF(AND(M3="02",N3&gt;=L_Conversion!$C$119,N3&lt;=L_Conversion!$D$119),"-",
IF(AND(M3="03",N3&gt;=L_Conversion!$C$120,N3&lt;=L_Conversion!$D$120),"-",
IF(AND(M3="04",N3&gt;=L_Conversion!$C$121,N3&lt;=L_Conversion!$D$121),"-",
IF(AND(M3="05",N3&gt;=L_Conversion!$C$122,N3&lt;=L_Conversion!$D$122),"-",
IF(AND(M3="06",N3&gt;=L_Conversion!$C$123,N3&lt;=L_Conversion!$D$123),"-",
IF(AND(M3="07",N3&gt;=L_Conversion!$C$124,N3&lt;=L_Conversion!$D$124),"-",
IF(AND(M3="08",N3&gt;=L_Conversion!$C$125,N3&lt;=L_Conversion!$D$125),"-",
IF(AND(M3="09",N3&gt;=L_Conversion!$C$126,N3&lt;=L_Conversion!$D$126),"-",
IF(AND(M3="10",N3&gt;=L_Conversion!$C$127,N3&lt;=L_Conversion!$D$127),"-",
IF(AND(M3="11",N3&gt;=L_Conversion!$C$128,N3&lt;=L_Conversion!$D$128),"-",
IF(AND(M3="12",N3&gt;=L_Conversion!$C$129,N3&lt;=L_Conversion!$D$129),"-",
IF(AND(M3="13",N3&gt;=L_Conversion!$C$116,N3&lt;=L_Conversion!$D$116),"-",
IF(AND(M3="14",N3&gt;=L_Conversion!$C$117,N3&lt;=L_Conversion!$D$117),"-",
"PRIMER_DIA fuera de rango")))))))))))))))</f>
        <v>-</v>
      </c>
      <c r="AS3" s="94" t="str">
        <f t="shared" ref="AS3:AS66" si="23">IF(O3="","Celda vacía",IF(AND(ISERROR(VLOOKUP(P3,Tabla_18_Tipos_licencias,1,FALSE))=FALSE,O3&gt;=0,O3&lt;=365),IF(P3=8,IF(H3="M",IF(ISERROR(VLOOKUP(O3,Dias_Licencia_Tipo_8_M,1,0)),"Revisar días licencia tipo 8","-"),IF(ISERROR(VLOOKUP(O3,Dias_licencia_tipo_8_H,1,0)),"Revisar días licencia tipo 8","-")),"-"),"Se debe revisar los campos TIPO_LM y N_DIAS"))</f>
        <v>-</v>
      </c>
      <c r="AT3" s="94" t="str">
        <f t="shared" ref="AT3:AT66" si="24">IF(P3="","Celda vacía",IF(ISERROR(VLOOKUP(P3,Tabla_18_Tipos_licencias,1,FALSE))=FALSE,IF(H3="M","-",IF(P3=7,"Revisar","-")),"Revisar"))</f>
        <v>-</v>
      </c>
      <c r="AU3" s="94" t="str">
        <f t="shared" ref="AU3:AU66" si="25">IF(Q3="","Celda vacía",IF(AND(OR(L3="HAG",L3="HONORARIO"),OR(Q3="AUTORIZADO",Q3="REDUCIDO",Q3="RECHAZADO",Q3="PENDIENTE",Q3="AMPLIADO")),"Revisar Calidad Jurídica",IF(AND(OR(L3="HAG",L3="HONORARIO"),Q3="NC"),"-",IF(ISERROR(VLOOKUP(Q3,Tabla_04_Estado_Resolucion,1,0)),"Revisar",IF(AND(Q3="PENDIENTE",($BG$1-N3)&gt;60),"Validar estado PENDIENTE",  IF(AND(OR(L3="CONTRATA",L3="PLANTA", L3="CT", L3="JP", L3="JORNAL", L3="CONTRATA_FD", L3="CT_FD", L3="ADSCRITO", L3="LGN", L3="VIGILANTE", L3="BECARIOS", L3="PLANTA_FD"),Q3&lt;&gt;"NC"),"-","Revisar Calidad Jurídica"))))))</f>
        <v>-</v>
      </c>
      <c r="AV3" s="94" t="str">
        <f t="shared" ref="AV3:AV66" si="26">IF(R3="","Celda vacía",IF(AND(OR(Q3="AUTORIZADO",Q3="PENDIENTE",Q3="NC",Q3="AMPLIADO"),R3="N"),"-",IF(AND(OR(Q3="REDUCIDO",Q3="RECHAZADO"),OR(R3="S",R3="N")),"-","Revisar")))</f>
        <v>-</v>
      </c>
      <c r="AW3" s="94" t="str">
        <f t="shared" ref="AW3:AW66" si="27">IF(Q3="","Celda vacía",IF(AND(R3="N",Q3=S3),"-",IF(AND(S3="PENDIENTE",($BG$1-N3)&gt;60),"Validar estado PENDIENTE",IF(AND(R3="S",OR(S3="AUTORIZADO",S3="PENDIENTE"),T3=O3),"-",IF(AND(R3="S",S3="REDUCIDO",T3&lt;O3,T3&gt;0),"-",IF(AND(R3="S",S3="RECHAZADO",T3=0),"-",IF(AND(Q3="NC",S3="NC",T3=O3),"-","Revisar")))))))</f>
        <v>-</v>
      </c>
      <c r="AX3" s="94" t="str">
        <f t="shared" ref="AX3:AX66" si="28">IF(T3="","Celda Vacía",IF(AND(OR(S3="AUTORIZADO",S3="PENDIENTE",S3="NC"),O3=T3),"-",IF(AND(S3="REDUCIDO",T3&gt;0,T3&lt;O3),"-",IF(AND(S3="RECHAZADO",T3=0),"-",   IF(AND(S3="AMPLIADO",T3&gt;O3),"-",       "Revisar" )))))</f>
        <v>-</v>
      </c>
      <c r="AY3" s="94" t="str">
        <f t="shared" ref="AY3:AY66" si="29">IF(U3="","Celda vacía",IF(OR(U3="S",U3="N"),"-","Revisar"))</f>
        <v>-</v>
      </c>
      <c r="AZ3" s="94" t="str">
        <f t="shared" ref="AZ3:AZ66" si="30">IF(V3="","Celda vacía",IF(OR(V3="S",V3="N"),"-","Revisar"))</f>
        <v>-</v>
      </c>
      <c r="BA3" s="94" t="str">
        <f t="shared" ref="BA3:BA66" si="31">IF(W3="","Celda vacía",IF(OR(W3="S",W3="N"),"-","Revisar"))</f>
        <v>-</v>
      </c>
      <c r="BB3" s="94" t="str">
        <f t="shared" ref="BB3:BB66" si="32">IF(X3="","Celda Vacia",IF(  OR(          AND(X3=0,W3="S"),AND(X3&lt;&gt;0,W3="N")),"Revisar valor del campo MONTO_SUB","-"))</f>
        <v>-</v>
      </c>
      <c r="BC3" s="94" t="str">
        <f t="shared" ref="BC3:BC66" si="33">IF(Y3="","Celda Vacia",IF(ISERROR(VLOOKUP(Y3,Tabla_33_estado_recuperacion,1,FALSE)),"Se debe corregir el valor según Tabla Nro 33",IF(Y3="SDR",IF(OR(S3="RECHAZADO",W3="N"),"-","Se debe revisar  ESTADO SDR"),IF(Y3="PEN",IF(OR(S3="AUTORIZADO",S3="REDUCIDO",S3="PENDIENTE"),"-","Se debe revisar ESTADO PEN"),IF(AND(OR(W3="S",W3="N"),OR(Y3="TOT",Y3="PAR"),OR(S3="AUTORIZADO",S3="REDUCIDO")),"-","Revisar ER2 Y ESTADO_REC")))))</f>
        <v>-</v>
      </c>
      <c r="BD3" s="94" t="str">
        <f t="shared" ref="BD3:BD66" si="34">IF(Z3="","Celda Vacia", IF(Z3&gt;T3,"Dias recuperados no puede ser mayor a dias autorizados", IF(ISNUMBER(Z3)=TRUE,IF(Z3=0,IF(OR(Y3="SDR",Y3="PEN"),"-",IF(AND(T3&lt;4,OR(Y3="TOT",Y3="PAR")),"-","Se debe revisar los Campos N_DIAS_REC y ESTADO_REC")),IF(AND(Z3&gt;0,Z3&lt;366,OR(Y3="TOT",Y3="PAR")),"-","Se debe revisar los campos ESTADO_REC y N_DIAS_REC")),"Valor del campo N_DIAS_REC no es numérico"))    )</f>
        <v>-</v>
      </c>
      <c r="BE3" s="94" t="str">
        <f t="shared" ref="BE3:BE66" si="35">IF(AA3="","Celda vacia",
IF( AND(AA3=0,(OR(Y3="PEN",Y3="SDR"))),"-",
IF(AND(T3&lt;4,OR(P3="5A",P3="5B",P3="6A",P3="6B"),AA3&gt;=0),"-",
IF(AND(T3&lt;4,P3&lt;&gt;"5A",P3&lt;&gt;"5B",P3&lt;&gt;"6A",P3&lt;&gt;"6B",AA3=0),"-",
IF(AND(T3&lt;4,P3&lt;&gt;"5A",P3&lt;&gt;"5B",P3&lt;&gt;"6A",P3&lt;&gt;"6B",V3="S",AA3&gt;=0),"-",
IF(AND(T3&gt;=4,AA3&gt;0, OR(Y3="TOT",Y3="PAR")),"-",
"Revisar el tipo de licencia medica, dias de licencia para el monto de recuperación declarado"))))))</f>
        <v>-</v>
      </c>
      <c r="BF3" s="94" t="str">
        <f t="shared" ref="BF3:BF66" si="36">IF(AB3="","Celda vacia",IF(ISNUMBER(AB3)=TRUE,IF(AB3=0,IF(OR(Y3="PEN",Y3="SDR"),"-","revisar "),IF(OR(Y3="TOT",Y3="PAR"),"-","Revisar")),"Valor del campo no es numérico"))</f>
        <v>-</v>
      </c>
      <c r="BG3" s="186" t="str">
        <f>IF(OR(AQ3="13",AQ3="14",AT3=8),"",IF(     AND(OR(AW3="AUTORIZADO", AW3="PENDIENTE", AW3="REDUCIDO", AW3="AMPLIADO"),AP3&lt;&gt;"HONORARIO" ), _xlfn.CONCAT(IF(AL3="X","H",AL3),"_",IF(OR(AT3=5,AT3=6),_xlfn.CONCAT(AT3,"A"),AT3),"_",VLOOKUP(AX3,Datos!$B$2:$C$5,2,TRUE)),""))</f>
        <v/>
      </c>
    </row>
    <row r="4" spans="1:59" x14ac:dyDescent="0.2">
      <c r="A4" s="19" t="s">
        <v>1193</v>
      </c>
      <c r="B4" s="19" t="s">
        <v>81</v>
      </c>
      <c r="C4" s="19">
        <v>13699151</v>
      </c>
      <c r="D4" s="19">
        <v>5</v>
      </c>
      <c r="E4" s="19" t="s">
        <v>1200</v>
      </c>
      <c r="F4" s="19" t="s">
        <v>1201</v>
      </c>
      <c r="G4" s="19" t="s">
        <v>1202</v>
      </c>
      <c r="H4" s="19" t="s">
        <v>1018</v>
      </c>
      <c r="I4" s="19" t="s">
        <v>655</v>
      </c>
      <c r="J4" s="19">
        <v>80</v>
      </c>
      <c r="K4" s="19" t="s">
        <v>554</v>
      </c>
      <c r="L4" s="19" t="s">
        <v>495</v>
      </c>
      <c r="M4" s="19" t="s">
        <v>18</v>
      </c>
      <c r="N4" s="19">
        <v>45672</v>
      </c>
      <c r="O4" s="19">
        <v>22</v>
      </c>
      <c r="P4" s="83">
        <v>1</v>
      </c>
      <c r="Q4" s="19" t="s">
        <v>23</v>
      </c>
      <c r="R4" s="19" t="s">
        <v>11</v>
      </c>
      <c r="S4" s="19" t="s">
        <v>23</v>
      </c>
      <c r="T4" s="19">
        <v>22</v>
      </c>
      <c r="U4" s="19" t="s">
        <v>11</v>
      </c>
      <c r="V4" s="19" t="s">
        <v>11</v>
      </c>
      <c r="W4" s="19" t="s">
        <v>11</v>
      </c>
      <c r="X4" s="19">
        <v>0</v>
      </c>
      <c r="Y4" s="19" t="s">
        <v>730</v>
      </c>
      <c r="Z4" s="19">
        <v>0</v>
      </c>
      <c r="AA4" s="19">
        <v>0</v>
      </c>
      <c r="AB4" s="19">
        <v>0</v>
      </c>
      <c r="AC4" s="186" t="str">
        <f>IF(OR(M4="13",M4="14",P4=8),"",IF(     AND(OR(S4="AUTORIZADO", S4="PENDIENTE", S4="REDUCIDO", S4="AMPLIADO"),L4&lt;&gt;"HONORARIO" ), _xlfn.CONCAT(IF(H4="X","H",H4),"_",IF(OR(P4=5,P4=6),_xlfn.CONCAT(P4,"A"),P4),"_",VLOOKUP(T4,Datos!$B$2:$C$5,2,TRUE)),""))</f>
        <v>M_1_[11 +]</v>
      </c>
      <c r="AD4" s="186">
        <f t="shared" si="10"/>
        <v>0</v>
      </c>
      <c r="AE4" s="90" t="str">
        <f t="shared" si="11"/>
        <v>-</v>
      </c>
      <c r="AF4" s="91" t="str">
        <f t="shared" si="12"/>
        <v>071901</v>
      </c>
      <c r="AG4" s="92"/>
      <c r="AH4" s="93" t="str">
        <f t="shared" si="13"/>
        <v>Comité Innova Chile</v>
      </c>
      <c r="AI4" s="90" t="str">
        <f t="shared" si="14"/>
        <v>-</v>
      </c>
      <c r="AJ4" s="90">
        <f t="shared" si="15"/>
        <v>5</v>
      </c>
      <c r="AK4" s="90" t="str">
        <f t="shared" si="16"/>
        <v>-</v>
      </c>
      <c r="AL4" s="90" t="str">
        <f t="shared" si="17"/>
        <v>Identifica este registro como MUJER</v>
      </c>
      <c r="AM4" s="90" t="str">
        <f t="shared" si="18"/>
        <v>-</v>
      </c>
      <c r="AN4" s="90" t="str">
        <f t="shared" si="19"/>
        <v>-</v>
      </c>
      <c r="AO4" s="90" t="str">
        <f t="shared" si="20"/>
        <v>-</v>
      </c>
      <c r="AP4" s="58" t="str">
        <f t="shared" si="21"/>
        <v>-</v>
      </c>
      <c r="AQ4" s="94" t="str">
        <f t="shared" si="22"/>
        <v>-</v>
      </c>
      <c r="AR4" s="94" t="str">
        <f>IF(N4="","PRIMER_DIA en blanco",
IF(AND(M4="01",N4&gt;=L_Conversion!$C$118,N4&lt;=L_Conversion!$D$118),"-",
IF(AND(M4="02",N4&gt;=L_Conversion!$C$119,N4&lt;=L_Conversion!$D$119),"-",
IF(AND(M4="03",N4&gt;=L_Conversion!$C$120,N4&lt;=L_Conversion!$D$120),"-",
IF(AND(M4="04",N4&gt;=L_Conversion!$C$121,N4&lt;=L_Conversion!$D$121),"-",
IF(AND(M4="05",N4&gt;=L_Conversion!$C$122,N4&lt;=L_Conversion!$D$122),"-",
IF(AND(M4="06",N4&gt;=L_Conversion!$C$123,N4&lt;=L_Conversion!$D$123),"-",
IF(AND(M4="07",N4&gt;=L_Conversion!$C$124,N4&lt;=L_Conversion!$D$124),"-",
IF(AND(M4="08",N4&gt;=L_Conversion!$C$125,N4&lt;=L_Conversion!$D$125),"-",
IF(AND(M4="09",N4&gt;=L_Conversion!$C$126,N4&lt;=L_Conversion!$D$126),"-",
IF(AND(M4="10",N4&gt;=L_Conversion!$C$127,N4&lt;=L_Conversion!$D$127),"-",
IF(AND(M4="11",N4&gt;=L_Conversion!$C$128,N4&lt;=L_Conversion!$D$128),"-",
IF(AND(M4="12",N4&gt;=L_Conversion!$C$129,N4&lt;=L_Conversion!$D$129),"-",
IF(AND(M4="13",N4&gt;=L_Conversion!$C$116,N4&lt;=L_Conversion!$D$116),"-",
IF(AND(M4="14",N4&gt;=L_Conversion!$C$117,N4&lt;=L_Conversion!$D$117),"-",
"PRIMER_DIA fuera de rango")))))))))))))))</f>
        <v>-</v>
      </c>
      <c r="AS4" s="94" t="str">
        <f t="shared" si="23"/>
        <v>-</v>
      </c>
      <c r="AT4" s="94" t="str">
        <f t="shared" si="24"/>
        <v>-</v>
      </c>
      <c r="AU4" s="94" t="str">
        <f t="shared" si="25"/>
        <v>-</v>
      </c>
      <c r="AV4" s="94" t="str">
        <f t="shared" si="26"/>
        <v>-</v>
      </c>
      <c r="AW4" s="94" t="str">
        <f t="shared" si="27"/>
        <v>-</v>
      </c>
      <c r="AX4" s="94" t="str">
        <f t="shared" si="28"/>
        <v>-</v>
      </c>
      <c r="AY4" s="94" t="str">
        <f t="shared" si="29"/>
        <v>-</v>
      </c>
      <c r="AZ4" s="94" t="str">
        <f t="shared" si="30"/>
        <v>-</v>
      </c>
      <c r="BA4" s="94" t="str">
        <f t="shared" si="31"/>
        <v>-</v>
      </c>
      <c r="BB4" s="94" t="str">
        <f t="shared" si="32"/>
        <v>-</v>
      </c>
      <c r="BC4" s="94" t="str">
        <f t="shared" si="33"/>
        <v>-</v>
      </c>
      <c r="BD4" s="94" t="str">
        <f t="shared" si="34"/>
        <v>-</v>
      </c>
      <c r="BE4" s="94" t="str">
        <f t="shared" si="35"/>
        <v>-</v>
      </c>
      <c r="BF4" s="94" t="str">
        <f t="shared" si="36"/>
        <v>-</v>
      </c>
      <c r="BG4" s="186" t="str">
        <f>IF(OR(AQ4="13",AQ4="14",AT4=8),"",IF(     AND(OR(AW4="AUTORIZADO", AW4="PENDIENTE", AW4="REDUCIDO", AW4="AMPLIADO"),AP4&lt;&gt;"HONORARIO" ), _xlfn.CONCAT(IF(AL4="X","H",AL4),"_",IF(OR(AT4=5,AT4=6),_xlfn.CONCAT(AT4,"A"),AT4),"_",VLOOKUP(AX4,Datos!$B$2:$C$5,2,TRUE)),""))</f>
        <v/>
      </c>
    </row>
    <row r="5" spans="1:59" x14ac:dyDescent="0.2">
      <c r="A5" s="19" t="s">
        <v>1193</v>
      </c>
      <c r="B5" s="19" t="s">
        <v>81</v>
      </c>
      <c r="C5" s="19">
        <v>15246163</v>
      </c>
      <c r="D5" s="19">
        <v>1</v>
      </c>
      <c r="E5" s="19" t="s">
        <v>1195</v>
      </c>
      <c r="F5" s="19" t="s">
        <v>1203</v>
      </c>
      <c r="G5" s="19" t="s">
        <v>1204</v>
      </c>
      <c r="H5" s="19" t="s">
        <v>654</v>
      </c>
      <c r="I5" s="19" t="s">
        <v>653</v>
      </c>
      <c r="J5" s="19">
        <v>80</v>
      </c>
      <c r="K5" s="19" t="s">
        <v>556</v>
      </c>
      <c r="L5" s="19" t="s">
        <v>495</v>
      </c>
      <c r="M5" s="19" t="s">
        <v>18</v>
      </c>
      <c r="N5" s="19">
        <v>45673</v>
      </c>
      <c r="O5" s="19">
        <v>30</v>
      </c>
      <c r="P5" s="83">
        <v>1</v>
      </c>
      <c r="Q5" s="19" t="s">
        <v>23</v>
      </c>
      <c r="R5" s="19" t="s">
        <v>11</v>
      </c>
      <c r="S5" s="19" t="s">
        <v>23</v>
      </c>
      <c r="T5" s="19">
        <v>30</v>
      </c>
      <c r="U5" s="19" t="s">
        <v>11</v>
      </c>
      <c r="V5" s="19" t="s">
        <v>11</v>
      </c>
      <c r="W5" s="19" t="s">
        <v>11</v>
      </c>
      <c r="X5" s="19">
        <v>0</v>
      </c>
      <c r="Y5" s="19" t="s">
        <v>730</v>
      </c>
      <c r="Z5" s="19">
        <v>0</v>
      </c>
      <c r="AA5" s="19">
        <v>0</v>
      </c>
      <c r="AB5" s="19">
        <v>0</v>
      </c>
      <c r="AC5" s="186" t="str">
        <f>IF(OR(M5="13",M5="14",P5=8),"",IF(     AND(OR(S5="AUTORIZADO", S5="PENDIENTE", S5="REDUCIDO", S5="AMPLIADO"),L5&lt;&gt;"HONORARIO" ), _xlfn.CONCAT(IF(H5="X","H",H5),"_",IF(OR(P5=5,P5=6),_xlfn.CONCAT(P5,"A"),P5),"_",VLOOKUP(T5,Datos!$B$2:$C$5,2,TRUE)),""))</f>
        <v>H_1_[11 +]</v>
      </c>
      <c r="AD5" s="186">
        <f t="shared" si="10"/>
        <v>0</v>
      </c>
      <c r="AE5" s="90" t="str">
        <f t="shared" si="11"/>
        <v>-</v>
      </c>
      <c r="AF5" s="91" t="str">
        <f t="shared" si="12"/>
        <v>071901</v>
      </c>
      <c r="AG5" s="92"/>
      <c r="AH5" s="93" t="str">
        <f t="shared" si="13"/>
        <v>Comité Innova Chile</v>
      </c>
      <c r="AI5" s="90" t="str">
        <f t="shared" si="14"/>
        <v>-</v>
      </c>
      <c r="AJ5" s="90">
        <f t="shared" si="15"/>
        <v>1</v>
      </c>
      <c r="AK5" s="90" t="str">
        <f t="shared" si="16"/>
        <v>-</v>
      </c>
      <c r="AL5" s="90" t="str">
        <f t="shared" si="17"/>
        <v>Identifica este registro como HOMBRE</v>
      </c>
      <c r="AM5" s="90" t="str">
        <f t="shared" si="18"/>
        <v>-</v>
      </c>
      <c r="AN5" s="90" t="str">
        <f t="shared" si="19"/>
        <v>-</v>
      </c>
      <c r="AO5" s="90" t="str">
        <f t="shared" si="20"/>
        <v>-</v>
      </c>
      <c r="AP5" s="58" t="str">
        <f t="shared" si="21"/>
        <v>-</v>
      </c>
      <c r="AQ5" s="94" t="str">
        <f t="shared" si="22"/>
        <v>-</v>
      </c>
      <c r="AR5" s="94" t="str">
        <f>IF(N5="","PRIMER_DIA en blanco",
IF(AND(M5="01",N5&gt;=L_Conversion!$C$118,N5&lt;=L_Conversion!$D$118),"-",
IF(AND(M5="02",N5&gt;=L_Conversion!$C$119,N5&lt;=L_Conversion!$D$119),"-",
IF(AND(M5="03",N5&gt;=L_Conversion!$C$120,N5&lt;=L_Conversion!$D$120),"-",
IF(AND(M5="04",N5&gt;=L_Conversion!$C$121,N5&lt;=L_Conversion!$D$121),"-",
IF(AND(M5="05",N5&gt;=L_Conversion!$C$122,N5&lt;=L_Conversion!$D$122),"-",
IF(AND(M5="06",N5&gt;=L_Conversion!$C$123,N5&lt;=L_Conversion!$D$123),"-",
IF(AND(M5="07",N5&gt;=L_Conversion!$C$124,N5&lt;=L_Conversion!$D$124),"-",
IF(AND(M5="08",N5&gt;=L_Conversion!$C$125,N5&lt;=L_Conversion!$D$125),"-",
IF(AND(M5="09",N5&gt;=L_Conversion!$C$126,N5&lt;=L_Conversion!$D$126),"-",
IF(AND(M5="10",N5&gt;=L_Conversion!$C$127,N5&lt;=L_Conversion!$D$127),"-",
IF(AND(M5="11",N5&gt;=L_Conversion!$C$128,N5&lt;=L_Conversion!$D$128),"-",
IF(AND(M5="12",N5&gt;=L_Conversion!$C$129,N5&lt;=L_Conversion!$D$129),"-",
IF(AND(M5="13",N5&gt;=L_Conversion!$C$116,N5&lt;=L_Conversion!$D$116),"-",
IF(AND(M5="14",N5&gt;=L_Conversion!$C$117,N5&lt;=L_Conversion!$D$117),"-",
"PRIMER_DIA fuera de rango")))))))))))))))</f>
        <v>-</v>
      </c>
      <c r="AS5" s="94" t="str">
        <f t="shared" si="23"/>
        <v>-</v>
      </c>
      <c r="AT5" s="94" t="str">
        <f t="shared" si="24"/>
        <v>-</v>
      </c>
      <c r="AU5" s="94" t="str">
        <f t="shared" si="25"/>
        <v>-</v>
      </c>
      <c r="AV5" s="94" t="str">
        <f t="shared" si="26"/>
        <v>-</v>
      </c>
      <c r="AW5" s="94" t="str">
        <f t="shared" si="27"/>
        <v>-</v>
      </c>
      <c r="AX5" s="94" t="str">
        <f t="shared" si="28"/>
        <v>-</v>
      </c>
      <c r="AY5" s="94" t="str">
        <f t="shared" si="29"/>
        <v>-</v>
      </c>
      <c r="AZ5" s="94" t="str">
        <f t="shared" si="30"/>
        <v>-</v>
      </c>
      <c r="BA5" s="94" t="str">
        <f t="shared" si="31"/>
        <v>-</v>
      </c>
      <c r="BB5" s="94" t="str">
        <f t="shared" si="32"/>
        <v>-</v>
      </c>
      <c r="BC5" s="94" t="str">
        <f t="shared" si="33"/>
        <v>-</v>
      </c>
      <c r="BD5" s="94" t="str">
        <f t="shared" si="34"/>
        <v>-</v>
      </c>
      <c r="BE5" s="94" t="str">
        <f t="shared" si="35"/>
        <v>-</v>
      </c>
      <c r="BF5" s="94" t="str">
        <f t="shared" si="36"/>
        <v>-</v>
      </c>
      <c r="BG5" s="186" t="str">
        <f>IF(OR(AQ5="13",AQ5="14",AT5=8),"",IF(     AND(OR(AW5="AUTORIZADO", AW5="PENDIENTE", AW5="REDUCIDO", AW5="AMPLIADO"),AP5&lt;&gt;"HONORARIO" ), _xlfn.CONCAT(IF(AL5="X","H",AL5),"_",IF(OR(AT5=5,AT5=6),_xlfn.CONCAT(AT5,"A"),AT5),"_",VLOOKUP(AX5,Datos!$B$2:$C$5,2,TRUE)),""))</f>
        <v/>
      </c>
    </row>
    <row r="6" spans="1:59" x14ac:dyDescent="0.2">
      <c r="A6" s="19" t="s">
        <v>1193</v>
      </c>
      <c r="B6" s="19" t="s">
        <v>81</v>
      </c>
      <c r="C6" s="19">
        <v>19361760</v>
      </c>
      <c r="D6" s="19">
        <v>3</v>
      </c>
      <c r="E6" s="19" t="s">
        <v>1205</v>
      </c>
      <c r="F6" s="19" t="s">
        <v>1206</v>
      </c>
      <c r="G6" s="19" t="s">
        <v>1207</v>
      </c>
      <c r="H6" s="19" t="s">
        <v>1018</v>
      </c>
      <c r="I6" s="19" t="s">
        <v>653</v>
      </c>
      <c r="J6" s="19">
        <v>80</v>
      </c>
      <c r="K6" s="19" t="s">
        <v>556</v>
      </c>
      <c r="L6" s="19" t="s">
        <v>495</v>
      </c>
      <c r="M6" s="19" t="s">
        <v>18</v>
      </c>
      <c r="N6" s="19">
        <v>45677</v>
      </c>
      <c r="O6" s="19">
        <v>1</v>
      </c>
      <c r="P6" s="83">
        <v>1</v>
      </c>
      <c r="Q6" s="19" t="s">
        <v>23</v>
      </c>
      <c r="R6" s="19" t="s">
        <v>11</v>
      </c>
      <c r="S6" s="19" t="s">
        <v>23</v>
      </c>
      <c r="T6" s="19">
        <v>1</v>
      </c>
      <c r="U6" s="19" t="s">
        <v>11</v>
      </c>
      <c r="V6" s="19" t="s">
        <v>11</v>
      </c>
      <c r="W6" s="19" t="s">
        <v>11</v>
      </c>
      <c r="X6" s="19">
        <v>0</v>
      </c>
      <c r="Y6" s="19" t="s">
        <v>730</v>
      </c>
      <c r="Z6" s="19">
        <v>0</v>
      </c>
      <c r="AA6" s="19">
        <v>0</v>
      </c>
      <c r="AB6" s="19">
        <v>0</v>
      </c>
      <c r="AC6" s="186" t="str">
        <f>IF(OR(M6="13",M6="14",P6=8),"",IF(     AND(OR(S6="AUTORIZADO", S6="PENDIENTE", S6="REDUCIDO", S6="AMPLIADO"),L6&lt;&gt;"HONORARIO" ), _xlfn.CONCAT(IF(H6="X","H",H6),"_",IF(OR(P6=5,P6=6),_xlfn.CONCAT(P6,"A"),P6),"_",VLOOKUP(T6,Datos!$B$2:$C$5,2,TRUE)),""))</f>
        <v>M_1_[hasta 3]</v>
      </c>
      <c r="AD6" s="186">
        <f t="shared" si="10"/>
        <v>0</v>
      </c>
      <c r="AE6" s="90" t="str">
        <f t="shared" si="11"/>
        <v>-</v>
      </c>
      <c r="AF6" s="91" t="str">
        <f t="shared" si="12"/>
        <v>071901</v>
      </c>
      <c r="AG6" s="92"/>
      <c r="AH6" s="93" t="str">
        <f t="shared" si="13"/>
        <v>Comité Innova Chile</v>
      </c>
      <c r="AI6" s="90" t="str">
        <f t="shared" si="14"/>
        <v>-</v>
      </c>
      <c r="AJ6" s="90">
        <f t="shared" si="15"/>
        <v>3</v>
      </c>
      <c r="AK6" s="90" t="str">
        <f t="shared" si="16"/>
        <v>-</v>
      </c>
      <c r="AL6" s="90" t="str">
        <f t="shared" si="17"/>
        <v>Identifica este registro como MUJER</v>
      </c>
      <c r="AM6" s="90" t="str">
        <f t="shared" si="18"/>
        <v>-</v>
      </c>
      <c r="AN6" s="90" t="str">
        <f t="shared" si="19"/>
        <v>-</v>
      </c>
      <c r="AO6" s="90" t="str">
        <f t="shared" si="20"/>
        <v>-</v>
      </c>
      <c r="AP6" s="58" t="str">
        <f t="shared" si="21"/>
        <v>-</v>
      </c>
      <c r="AQ6" s="94" t="str">
        <f t="shared" si="22"/>
        <v>-</v>
      </c>
      <c r="AR6" s="94" t="str">
        <f>IF(N6="","PRIMER_DIA en blanco",
IF(AND(M6="01",N6&gt;=L_Conversion!$C$118,N6&lt;=L_Conversion!$D$118),"-",
IF(AND(M6="02",N6&gt;=L_Conversion!$C$119,N6&lt;=L_Conversion!$D$119),"-",
IF(AND(M6="03",N6&gt;=L_Conversion!$C$120,N6&lt;=L_Conversion!$D$120),"-",
IF(AND(M6="04",N6&gt;=L_Conversion!$C$121,N6&lt;=L_Conversion!$D$121),"-",
IF(AND(M6="05",N6&gt;=L_Conversion!$C$122,N6&lt;=L_Conversion!$D$122),"-",
IF(AND(M6="06",N6&gt;=L_Conversion!$C$123,N6&lt;=L_Conversion!$D$123),"-",
IF(AND(M6="07",N6&gt;=L_Conversion!$C$124,N6&lt;=L_Conversion!$D$124),"-",
IF(AND(M6="08",N6&gt;=L_Conversion!$C$125,N6&lt;=L_Conversion!$D$125),"-",
IF(AND(M6="09",N6&gt;=L_Conversion!$C$126,N6&lt;=L_Conversion!$D$126),"-",
IF(AND(M6="10",N6&gt;=L_Conversion!$C$127,N6&lt;=L_Conversion!$D$127),"-",
IF(AND(M6="11",N6&gt;=L_Conversion!$C$128,N6&lt;=L_Conversion!$D$128),"-",
IF(AND(M6="12",N6&gt;=L_Conversion!$C$129,N6&lt;=L_Conversion!$D$129),"-",
IF(AND(M6="13",N6&gt;=L_Conversion!$C$116,N6&lt;=L_Conversion!$D$116),"-",
IF(AND(M6="14",N6&gt;=L_Conversion!$C$117,N6&lt;=L_Conversion!$D$117),"-",
"PRIMER_DIA fuera de rango")))))))))))))))</f>
        <v>-</v>
      </c>
      <c r="AS6" s="94" t="str">
        <f t="shared" si="23"/>
        <v>-</v>
      </c>
      <c r="AT6" s="94" t="str">
        <f t="shared" si="24"/>
        <v>-</v>
      </c>
      <c r="AU6" s="94" t="str">
        <f t="shared" si="25"/>
        <v>-</v>
      </c>
      <c r="AV6" s="94" t="str">
        <f t="shared" si="26"/>
        <v>-</v>
      </c>
      <c r="AW6" s="94" t="str">
        <f t="shared" si="27"/>
        <v>-</v>
      </c>
      <c r="AX6" s="94" t="str">
        <f t="shared" si="28"/>
        <v>-</v>
      </c>
      <c r="AY6" s="94" t="str">
        <f t="shared" si="29"/>
        <v>-</v>
      </c>
      <c r="AZ6" s="94" t="str">
        <f t="shared" si="30"/>
        <v>-</v>
      </c>
      <c r="BA6" s="94" t="str">
        <f t="shared" si="31"/>
        <v>-</v>
      </c>
      <c r="BB6" s="94" t="str">
        <f t="shared" si="32"/>
        <v>-</v>
      </c>
      <c r="BC6" s="94" t="str">
        <f t="shared" si="33"/>
        <v>-</v>
      </c>
      <c r="BD6" s="94" t="str">
        <f t="shared" si="34"/>
        <v>-</v>
      </c>
      <c r="BE6" s="94" t="str">
        <f t="shared" si="35"/>
        <v>-</v>
      </c>
      <c r="BF6" s="94" t="str">
        <f t="shared" si="36"/>
        <v>-</v>
      </c>
      <c r="BG6" s="186" t="str">
        <f>IF(OR(AQ6="13",AQ6="14",AT6=8),"",IF(     AND(OR(AW6="AUTORIZADO", AW6="PENDIENTE", AW6="REDUCIDO", AW6="AMPLIADO"),AP6&lt;&gt;"HONORARIO" ), _xlfn.CONCAT(IF(AL6="X","H",AL6),"_",IF(OR(AT6=5,AT6=6),_xlfn.CONCAT(AT6,"A"),AT6),"_",VLOOKUP(AX6,Datos!$B$2:$C$5,2,TRUE)),""))</f>
        <v/>
      </c>
    </row>
    <row r="7" spans="1:59" x14ac:dyDescent="0.2">
      <c r="A7" s="19" t="s">
        <v>1193</v>
      </c>
      <c r="B7" s="19" t="s">
        <v>81</v>
      </c>
      <c r="C7" s="19">
        <v>19361760</v>
      </c>
      <c r="D7" s="19">
        <v>3</v>
      </c>
      <c r="E7" s="19" t="s">
        <v>1205</v>
      </c>
      <c r="F7" s="19" t="s">
        <v>1206</v>
      </c>
      <c r="G7" s="19" t="s">
        <v>1207</v>
      </c>
      <c r="H7" s="19" t="s">
        <v>1018</v>
      </c>
      <c r="I7" s="19" t="s">
        <v>653</v>
      </c>
      <c r="J7" s="19">
        <v>80</v>
      </c>
      <c r="K7" s="19" t="s">
        <v>556</v>
      </c>
      <c r="L7" s="19" t="s">
        <v>495</v>
      </c>
      <c r="M7" s="19" t="s">
        <v>18</v>
      </c>
      <c r="N7" s="19">
        <v>45679</v>
      </c>
      <c r="O7" s="19">
        <v>1</v>
      </c>
      <c r="P7" s="83">
        <v>1</v>
      </c>
      <c r="Q7" s="19" t="s">
        <v>23</v>
      </c>
      <c r="R7" s="19" t="s">
        <v>11</v>
      </c>
      <c r="S7" s="19" t="s">
        <v>23</v>
      </c>
      <c r="T7" s="19">
        <v>1</v>
      </c>
      <c r="U7" s="19" t="s">
        <v>11</v>
      </c>
      <c r="V7" s="19" t="s">
        <v>11</v>
      </c>
      <c r="W7" s="19" t="s">
        <v>11</v>
      </c>
      <c r="X7" s="19">
        <v>0</v>
      </c>
      <c r="Y7" s="19" t="s">
        <v>730</v>
      </c>
      <c r="Z7" s="19">
        <v>0</v>
      </c>
      <c r="AA7" s="19">
        <v>0</v>
      </c>
      <c r="AB7" s="19">
        <v>0</v>
      </c>
      <c r="AC7" s="186" t="str">
        <f>IF(OR(M7="13",M7="14",P7=8),"",IF(     AND(OR(S7="AUTORIZADO", S7="PENDIENTE", S7="REDUCIDO", S7="AMPLIADO"),L7&lt;&gt;"HONORARIO" ), _xlfn.CONCAT(IF(H7="X","H",H7),"_",IF(OR(P7=5,P7=6),_xlfn.CONCAT(P7,"A"),P7),"_",VLOOKUP(T7,Datos!$B$2:$C$5,2,TRUE)),""))</f>
        <v>M_1_[hasta 3]</v>
      </c>
      <c r="AD7" s="186">
        <f t="shared" si="10"/>
        <v>0</v>
      </c>
      <c r="AE7" s="90" t="str">
        <f t="shared" si="11"/>
        <v>-</v>
      </c>
      <c r="AF7" s="91" t="str">
        <f t="shared" si="12"/>
        <v>071901</v>
      </c>
      <c r="AG7" s="92"/>
      <c r="AH7" s="93" t="str">
        <f t="shared" si="13"/>
        <v>Comité Innova Chile</v>
      </c>
      <c r="AI7" s="90" t="str">
        <f t="shared" si="14"/>
        <v>-</v>
      </c>
      <c r="AJ7" s="90">
        <f t="shared" si="15"/>
        <v>3</v>
      </c>
      <c r="AK7" s="90" t="str">
        <f t="shared" si="16"/>
        <v>-</v>
      </c>
      <c r="AL7" s="90" t="str">
        <f t="shared" si="17"/>
        <v>Identifica este registro como MUJER</v>
      </c>
      <c r="AM7" s="90" t="str">
        <f t="shared" si="18"/>
        <v>-</v>
      </c>
      <c r="AN7" s="90" t="str">
        <f t="shared" si="19"/>
        <v>-</v>
      </c>
      <c r="AO7" s="90" t="str">
        <f t="shared" si="20"/>
        <v>-</v>
      </c>
      <c r="AP7" s="58" t="str">
        <f t="shared" si="21"/>
        <v>-</v>
      </c>
      <c r="AQ7" s="94" t="str">
        <f t="shared" si="22"/>
        <v>-</v>
      </c>
      <c r="AR7" s="94" t="str">
        <f>IF(N7="","PRIMER_DIA en blanco",
IF(AND(M7="01",N7&gt;=L_Conversion!$C$118,N7&lt;=L_Conversion!$D$118),"-",
IF(AND(M7="02",N7&gt;=L_Conversion!$C$119,N7&lt;=L_Conversion!$D$119),"-",
IF(AND(M7="03",N7&gt;=L_Conversion!$C$120,N7&lt;=L_Conversion!$D$120),"-",
IF(AND(M7="04",N7&gt;=L_Conversion!$C$121,N7&lt;=L_Conversion!$D$121),"-",
IF(AND(M7="05",N7&gt;=L_Conversion!$C$122,N7&lt;=L_Conversion!$D$122),"-",
IF(AND(M7="06",N7&gt;=L_Conversion!$C$123,N7&lt;=L_Conversion!$D$123),"-",
IF(AND(M7="07",N7&gt;=L_Conversion!$C$124,N7&lt;=L_Conversion!$D$124),"-",
IF(AND(M7="08",N7&gt;=L_Conversion!$C$125,N7&lt;=L_Conversion!$D$125),"-",
IF(AND(M7="09",N7&gt;=L_Conversion!$C$126,N7&lt;=L_Conversion!$D$126),"-",
IF(AND(M7="10",N7&gt;=L_Conversion!$C$127,N7&lt;=L_Conversion!$D$127),"-",
IF(AND(M7="11",N7&gt;=L_Conversion!$C$128,N7&lt;=L_Conversion!$D$128),"-",
IF(AND(M7="12",N7&gt;=L_Conversion!$C$129,N7&lt;=L_Conversion!$D$129),"-",
IF(AND(M7="13",N7&gt;=L_Conversion!$C$116,N7&lt;=L_Conversion!$D$116),"-",
IF(AND(M7="14",N7&gt;=L_Conversion!$C$117,N7&lt;=L_Conversion!$D$117),"-",
"PRIMER_DIA fuera de rango")))))))))))))))</f>
        <v>-</v>
      </c>
      <c r="AS7" s="94" t="str">
        <f t="shared" si="23"/>
        <v>-</v>
      </c>
      <c r="AT7" s="94" t="str">
        <f t="shared" si="24"/>
        <v>-</v>
      </c>
      <c r="AU7" s="94" t="str">
        <f t="shared" si="25"/>
        <v>-</v>
      </c>
      <c r="AV7" s="94" t="str">
        <f t="shared" si="26"/>
        <v>-</v>
      </c>
      <c r="AW7" s="94" t="str">
        <f t="shared" si="27"/>
        <v>-</v>
      </c>
      <c r="AX7" s="94" t="str">
        <f t="shared" si="28"/>
        <v>-</v>
      </c>
      <c r="AY7" s="94" t="str">
        <f t="shared" si="29"/>
        <v>-</v>
      </c>
      <c r="AZ7" s="94" t="str">
        <f t="shared" si="30"/>
        <v>-</v>
      </c>
      <c r="BA7" s="94" t="str">
        <f t="shared" si="31"/>
        <v>-</v>
      </c>
      <c r="BB7" s="94" t="str">
        <f t="shared" si="32"/>
        <v>-</v>
      </c>
      <c r="BC7" s="94" t="str">
        <f t="shared" si="33"/>
        <v>-</v>
      </c>
      <c r="BD7" s="94" t="str">
        <f t="shared" si="34"/>
        <v>-</v>
      </c>
      <c r="BE7" s="94" t="str">
        <f t="shared" si="35"/>
        <v>-</v>
      </c>
      <c r="BF7" s="94" t="str">
        <f t="shared" si="36"/>
        <v>-</v>
      </c>
      <c r="BG7" s="186" t="str">
        <f>IF(OR(AQ7="13",AQ7="14",AT7=8),"",IF(     AND(OR(AW7="AUTORIZADO", AW7="PENDIENTE", AW7="REDUCIDO", AW7="AMPLIADO"),AP7&lt;&gt;"HONORARIO" ), _xlfn.CONCAT(IF(AL7="X","H",AL7),"_",IF(OR(AT7=5,AT7=6),_xlfn.CONCAT(AT7,"A"),AT7),"_",VLOOKUP(AX7,Datos!$B$2:$C$5,2,TRUE)),""))</f>
        <v/>
      </c>
    </row>
    <row r="8" spans="1:59" x14ac:dyDescent="0.2">
      <c r="A8" s="19" t="s">
        <v>1193</v>
      </c>
      <c r="B8" s="19" t="s">
        <v>81</v>
      </c>
      <c r="C8" s="19">
        <v>18328984</v>
      </c>
      <c r="D8" s="19">
        <v>5</v>
      </c>
      <c r="E8" s="19" t="s">
        <v>1194</v>
      </c>
      <c r="F8" s="19" t="s">
        <v>1195</v>
      </c>
      <c r="G8" s="19" t="s">
        <v>1196</v>
      </c>
      <c r="H8" s="19" t="s">
        <v>654</v>
      </c>
      <c r="I8" s="19" t="s">
        <v>655</v>
      </c>
      <c r="J8" s="19">
        <v>80</v>
      </c>
      <c r="K8" s="19" t="s">
        <v>556</v>
      </c>
      <c r="L8" s="19" t="s">
        <v>495</v>
      </c>
      <c r="M8" s="19" t="s">
        <v>18</v>
      </c>
      <c r="N8" s="19">
        <v>45679</v>
      </c>
      <c r="O8" s="19">
        <v>15</v>
      </c>
      <c r="P8" s="83">
        <v>1</v>
      </c>
      <c r="Q8" s="19" t="s">
        <v>23</v>
      </c>
      <c r="R8" s="19" t="s">
        <v>11</v>
      </c>
      <c r="S8" s="19" t="s">
        <v>23</v>
      </c>
      <c r="T8" s="19">
        <v>15</v>
      </c>
      <c r="U8" s="19" t="s">
        <v>11</v>
      </c>
      <c r="V8" s="19" t="s">
        <v>11</v>
      </c>
      <c r="W8" s="19" t="s">
        <v>11</v>
      </c>
      <c r="X8" s="19">
        <v>0</v>
      </c>
      <c r="Y8" s="19" t="s">
        <v>730</v>
      </c>
      <c r="Z8" s="19">
        <v>0</v>
      </c>
      <c r="AA8" s="19">
        <v>0</v>
      </c>
      <c r="AB8" s="19">
        <v>0</v>
      </c>
      <c r="AC8" s="186" t="str">
        <f>IF(OR(M8="13",M8="14",P8=8),"",IF(     AND(OR(S8="AUTORIZADO", S8="PENDIENTE", S8="REDUCIDO", S8="AMPLIADO"),L8&lt;&gt;"HONORARIO" ), _xlfn.CONCAT(IF(H8="X","H",H8),"_",IF(OR(P8=5,P8=6),_xlfn.CONCAT(P8,"A"),P8),"_",VLOOKUP(T8,Datos!$B$2:$C$5,2,TRUE)),""))</f>
        <v>H_1_[11 +]</v>
      </c>
      <c r="AD8" s="186">
        <f t="shared" si="10"/>
        <v>0</v>
      </c>
      <c r="AE8" s="90" t="str">
        <f t="shared" si="11"/>
        <v>-</v>
      </c>
      <c r="AF8" s="91" t="str">
        <f t="shared" si="12"/>
        <v>071901</v>
      </c>
      <c r="AG8" s="92"/>
      <c r="AH8" s="93" t="str">
        <f t="shared" si="13"/>
        <v>Comité Innova Chile</v>
      </c>
      <c r="AI8" s="90" t="str">
        <f t="shared" si="14"/>
        <v>-</v>
      </c>
      <c r="AJ8" s="90">
        <f t="shared" si="15"/>
        <v>5</v>
      </c>
      <c r="AK8" s="90" t="str">
        <f t="shared" si="16"/>
        <v>-</v>
      </c>
      <c r="AL8" s="90" t="str">
        <f t="shared" si="17"/>
        <v>Identifica este registro como HOMBRE</v>
      </c>
      <c r="AM8" s="90" t="str">
        <f t="shared" si="18"/>
        <v>-</v>
      </c>
      <c r="AN8" s="90" t="str">
        <f t="shared" si="19"/>
        <v>-</v>
      </c>
      <c r="AO8" s="90" t="str">
        <f t="shared" si="20"/>
        <v>-</v>
      </c>
      <c r="AP8" s="58" t="str">
        <f t="shared" si="21"/>
        <v>-</v>
      </c>
      <c r="AQ8" s="94" t="str">
        <f t="shared" si="22"/>
        <v>-</v>
      </c>
      <c r="AR8" s="94" t="str">
        <f>IF(N8="","PRIMER_DIA en blanco",
IF(AND(M8="01",N8&gt;=L_Conversion!$C$118,N8&lt;=L_Conversion!$D$118),"-",
IF(AND(M8="02",N8&gt;=L_Conversion!$C$119,N8&lt;=L_Conversion!$D$119),"-",
IF(AND(M8="03",N8&gt;=L_Conversion!$C$120,N8&lt;=L_Conversion!$D$120),"-",
IF(AND(M8="04",N8&gt;=L_Conversion!$C$121,N8&lt;=L_Conversion!$D$121),"-",
IF(AND(M8="05",N8&gt;=L_Conversion!$C$122,N8&lt;=L_Conversion!$D$122),"-",
IF(AND(M8="06",N8&gt;=L_Conversion!$C$123,N8&lt;=L_Conversion!$D$123),"-",
IF(AND(M8="07",N8&gt;=L_Conversion!$C$124,N8&lt;=L_Conversion!$D$124),"-",
IF(AND(M8="08",N8&gt;=L_Conversion!$C$125,N8&lt;=L_Conversion!$D$125),"-",
IF(AND(M8="09",N8&gt;=L_Conversion!$C$126,N8&lt;=L_Conversion!$D$126),"-",
IF(AND(M8="10",N8&gt;=L_Conversion!$C$127,N8&lt;=L_Conversion!$D$127),"-",
IF(AND(M8="11",N8&gt;=L_Conversion!$C$128,N8&lt;=L_Conversion!$D$128),"-",
IF(AND(M8="12",N8&gt;=L_Conversion!$C$129,N8&lt;=L_Conversion!$D$129),"-",
IF(AND(M8="13",N8&gt;=L_Conversion!$C$116,N8&lt;=L_Conversion!$D$116),"-",
IF(AND(M8="14",N8&gt;=L_Conversion!$C$117,N8&lt;=L_Conversion!$D$117),"-",
"PRIMER_DIA fuera de rango")))))))))))))))</f>
        <v>-</v>
      </c>
      <c r="AS8" s="94" t="str">
        <f t="shared" si="23"/>
        <v>-</v>
      </c>
      <c r="AT8" s="94" t="str">
        <f t="shared" si="24"/>
        <v>-</v>
      </c>
      <c r="AU8" s="94" t="str">
        <f t="shared" si="25"/>
        <v>-</v>
      </c>
      <c r="AV8" s="94" t="str">
        <f t="shared" si="26"/>
        <v>-</v>
      </c>
      <c r="AW8" s="94" t="str">
        <f t="shared" si="27"/>
        <v>-</v>
      </c>
      <c r="AX8" s="94" t="str">
        <f t="shared" si="28"/>
        <v>-</v>
      </c>
      <c r="AY8" s="94" t="str">
        <f t="shared" si="29"/>
        <v>-</v>
      </c>
      <c r="AZ8" s="94" t="str">
        <f t="shared" si="30"/>
        <v>-</v>
      </c>
      <c r="BA8" s="94" t="str">
        <f t="shared" si="31"/>
        <v>-</v>
      </c>
      <c r="BB8" s="94" t="str">
        <f t="shared" si="32"/>
        <v>-</v>
      </c>
      <c r="BC8" s="94" t="str">
        <f t="shared" si="33"/>
        <v>-</v>
      </c>
      <c r="BD8" s="94" t="str">
        <f t="shared" si="34"/>
        <v>-</v>
      </c>
      <c r="BE8" s="94" t="str">
        <f t="shared" si="35"/>
        <v>-</v>
      </c>
      <c r="BF8" s="94" t="str">
        <f t="shared" si="36"/>
        <v>-</v>
      </c>
      <c r="BG8" s="186" t="str">
        <f>IF(OR(AQ8="13",AQ8="14",AT8=8),"",IF(     AND(OR(AW8="AUTORIZADO", AW8="PENDIENTE", AW8="REDUCIDO", AW8="AMPLIADO"),AP8&lt;&gt;"HONORARIO" ), _xlfn.CONCAT(IF(AL8="X","H",AL8),"_",IF(OR(AT8=5,AT8=6),_xlfn.CONCAT(AT8,"A"),AT8),"_",VLOOKUP(AX8,Datos!$B$2:$C$5,2,TRUE)),""))</f>
        <v/>
      </c>
    </row>
    <row r="9" spans="1:59" x14ac:dyDescent="0.2">
      <c r="A9" s="19" t="s">
        <v>1193</v>
      </c>
      <c r="B9" s="19" t="s">
        <v>81</v>
      </c>
      <c r="C9" s="19">
        <v>18357668</v>
      </c>
      <c r="D9" s="19">
        <v>2</v>
      </c>
      <c r="E9" s="19" t="s">
        <v>1208</v>
      </c>
      <c r="F9" s="19" t="s">
        <v>1209</v>
      </c>
      <c r="G9" s="19" t="s">
        <v>1210</v>
      </c>
      <c r="H9" s="19" t="s">
        <v>1018</v>
      </c>
      <c r="I9" s="19" t="s">
        <v>653</v>
      </c>
      <c r="J9" s="19">
        <v>80</v>
      </c>
      <c r="K9" s="19" t="s">
        <v>556</v>
      </c>
      <c r="L9" s="19" t="s">
        <v>495</v>
      </c>
      <c r="M9" s="19" t="s">
        <v>18</v>
      </c>
      <c r="N9" s="19">
        <v>45680</v>
      </c>
      <c r="O9" s="19">
        <v>11</v>
      </c>
      <c r="P9" s="83">
        <v>1</v>
      </c>
      <c r="Q9" s="19" t="s">
        <v>23</v>
      </c>
      <c r="R9" s="19" t="s">
        <v>11</v>
      </c>
      <c r="S9" s="19" t="s">
        <v>23</v>
      </c>
      <c r="T9" s="19">
        <v>11</v>
      </c>
      <c r="U9" s="19" t="s">
        <v>11</v>
      </c>
      <c r="V9" s="19" t="s">
        <v>11</v>
      </c>
      <c r="W9" s="19" t="s">
        <v>11</v>
      </c>
      <c r="X9" s="19">
        <v>0</v>
      </c>
      <c r="Y9" s="19" t="s">
        <v>730</v>
      </c>
      <c r="Z9" s="19">
        <v>0</v>
      </c>
      <c r="AA9" s="19">
        <v>0</v>
      </c>
      <c r="AB9" s="19">
        <v>0</v>
      </c>
      <c r="AC9" s="186" t="str">
        <f>IF(OR(M9="13",M9="14",P9=8),"",IF(     AND(OR(S9="AUTORIZADO", S9="PENDIENTE", S9="REDUCIDO", S9="AMPLIADO"),L9&lt;&gt;"HONORARIO" ), _xlfn.CONCAT(IF(H9="X","H",H9),"_",IF(OR(P9=5,P9=6),_xlfn.CONCAT(P9,"A"),P9),"_",VLOOKUP(T9,Datos!$B$2:$C$5,2,TRUE)),""))</f>
        <v>M_1_[11 +]</v>
      </c>
      <c r="AD9" s="186">
        <f t="shared" si="10"/>
        <v>0</v>
      </c>
      <c r="AE9" s="90" t="str">
        <f t="shared" si="11"/>
        <v>-</v>
      </c>
      <c r="AF9" s="91" t="str">
        <f t="shared" si="12"/>
        <v>071901</v>
      </c>
      <c r="AG9" s="92"/>
      <c r="AH9" s="93" t="str">
        <f t="shared" si="13"/>
        <v>Comité Innova Chile</v>
      </c>
      <c r="AI9" s="90" t="str">
        <f t="shared" si="14"/>
        <v>-</v>
      </c>
      <c r="AJ9" s="90">
        <f t="shared" si="15"/>
        <v>2</v>
      </c>
      <c r="AK9" s="90" t="str">
        <f t="shared" si="16"/>
        <v>-</v>
      </c>
      <c r="AL9" s="90" t="str">
        <f t="shared" si="17"/>
        <v>Identifica este registro como MUJER</v>
      </c>
      <c r="AM9" s="90" t="str">
        <f t="shared" si="18"/>
        <v>-</v>
      </c>
      <c r="AN9" s="90" t="str">
        <f t="shared" si="19"/>
        <v>-</v>
      </c>
      <c r="AO9" s="90" t="str">
        <f t="shared" si="20"/>
        <v>-</v>
      </c>
      <c r="AP9" s="58" t="str">
        <f t="shared" si="21"/>
        <v>-</v>
      </c>
      <c r="AQ9" s="94" t="str">
        <f t="shared" si="22"/>
        <v>-</v>
      </c>
      <c r="AR9" s="94" t="str">
        <f>IF(N9="","PRIMER_DIA en blanco",
IF(AND(M9="01",N9&gt;=L_Conversion!$C$118,N9&lt;=L_Conversion!$D$118),"-",
IF(AND(M9="02",N9&gt;=L_Conversion!$C$119,N9&lt;=L_Conversion!$D$119),"-",
IF(AND(M9="03",N9&gt;=L_Conversion!$C$120,N9&lt;=L_Conversion!$D$120),"-",
IF(AND(M9="04",N9&gt;=L_Conversion!$C$121,N9&lt;=L_Conversion!$D$121),"-",
IF(AND(M9="05",N9&gt;=L_Conversion!$C$122,N9&lt;=L_Conversion!$D$122),"-",
IF(AND(M9="06",N9&gt;=L_Conversion!$C$123,N9&lt;=L_Conversion!$D$123),"-",
IF(AND(M9="07",N9&gt;=L_Conversion!$C$124,N9&lt;=L_Conversion!$D$124),"-",
IF(AND(M9="08",N9&gt;=L_Conversion!$C$125,N9&lt;=L_Conversion!$D$125),"-",
IF(AND(M9="09",N9&gt;=L_Conversion!$C$126,N9&lt;=L_Conversion!$D$126),"-",
IF(AND(M9="10",N9&gt;=L_Conversion!$C$127,N9&lt;=L_Conversion!$D$127),"-",
IF(AND(M9="11",N9&gt;=L_Conversion!$C$128,N9&lt;=L_Conversion!$D$128),"-",
IF(AND(M9="12",N9&gt;=L_Conversion!$C$129,N9&lt;=L_Conversion!$D$129),"-",
IF(AND(M9="13",N9&gt;=L_Conversion!$C$116,N9&lt;=L_Conversion!$D$116),"-",
IF(AND(M9="14",N9&gt;=L_Conversion!$C$117,N9&lt;=L_Conversion!$D$117),"-",
"PRIMER_DIA fuera de rango")))))))))))))))</f>
        <v>-</v>
      </c>
      <c r="AS9" s="94" t="str">
        <f t="shared" si="23"/>
        <v>-</v>
      </c>
      <c r="AT9" s="94" t="str">
        <f t="shared" si="24"/>
        <v>-</v>
      </c>
      <c r="AU9" s="94" t="str">
        <f t="shared" si="25"/>
        <v>-</v>
      </c>
      <c r="AV9" s="94" t="str">
        <f t="shared" si="26"/>
        <v>-</v>
      </c>
      <c r="AW9" s="94" t="str">
        <f t="shared" si="27"/>
        <v>-</v>
      </c>
      <c r="AX9" s="94" t="str">
        <f t="shared" si="28"/>
        <v>-</v>
      </c>
      <c r="AY9" s="94" t="str">
        <f t="shared" si="29"/>
        <v>-</v>
      </c>
      <c r="AZ9" s="94" t="str">
        <f t="shared" si="30"/>
        <v>-</v>
      </c>
      <c r="BA9" s="94" t="str">
        <f t="shared" si="31"/>
        <v>-</v>
      </c>
      <c r="BB9" s="94" t="str">
        <f t="shared" si="32"/>
        <v>-</v>
      </c>
      <c r="BC9" s="94" t="str">
        <f t="shared" si="33"/>
        <v>-</v>
      </c>
      <c r="BD9" s="94" t="str">
        <f t="shared" si="34"/>
        <v>-</v>
      </c>
      <c r="BE9" s="94" t="str">
        <f t="shared" si="35"/>
        <v>-</v>
      </c>
      <c r="BF9" s="94" t="str">
        <f t="shared" si="36"/>
        <v>-</v>
      </c>
      <c r="BG9" s="186" t="str">
        <f>IF(OR(AQ9="13",AQ9="14",AT9=8),"",IF(     AND(OR(AW9="AUTORIZADO", AW9="PENDIENTE", AW9="REDUCIDO", AW9="AMPLIADO"),AP9&lt;&gt;"HONORARIO" ), _xlfn.CONCAT(IF(AL9="X","H",AL9),"_",IF(OR(AT9=5,AT9=6),_xlfn.CONCAT(AT9,"A"),AT9),"_",VLOOKUP(AX9,Datos!$B$2:$C$5,2,TRUE)),""))</f>
        <v/>
      </c>
    </row>
    <row r="10" spans="1:59" x14ac:dyDescent="0.2">
      <c r="A10" s="19" t="s">
        <v>1193</v>
      </c>
      <c r="B10" s="19" t="s">
        <v>81</v>
      </c>
      <c r="C10" s="19">
        <v>13458012</v>
      </c>
      <c r="D10" s="19">
        <v>7</v>
      </c>
      <c r="E10" s="19" t="s">
        <v>1211</v>
      </c>
      <c r="F10" s="19" t="s">
        <v>1212</v>
      </c>
      <c r="G10" s="19" t="s">
        <v>1213</v>
      </c>
      <c r="H10" s="19" t="s">
        <v>1018</v>
      </c>
      <c r="I10" s="19" t="s">
        <v>653</v>
      </c>
      <c r="J10" s="19">
        <v>80</v>
      </c>
      <c r="K10" s="19" t="s">
        <v>560</v>
      </c>
      <c r="L10" s="19" t="s">
        <v>495</v>
      </c>
      <c r="M10" s="19" t="s">
        <v>18</v>
      </c>
      <c r="N10" s="19">
        <v>45682</v>
      </c>
      <c r="O10" s="19">
        <v>4</v>
      </c>
      <c r="P10" s="83">
        <v>1</v>
      </c>
      <c r="Q10" s="19" t="s">
        <v>23</v>
      </c>
      <c r="R10" s="19" t="s">
        <v>11</v>
      </c>
      <c r="S10" s="19" t="s">
        <v>23</v>
      </c>
      <c r="T10" s="19">
        <v>4</v>
      </c>
      <c r="U10" s="19" t="s">
        <v>11</v>
      </c>
      <c r="V10" s="19" t="s">
        <v>11</v>
      </c>
      <c r="W10" s="19" t="s">
        <v>11</v>
      </c>
      <c r="X10" s="19">
        <v>0</v>
      </c>
      <c r="Y10" s="19" t="s">
        <v>730</v>
      </c>
      <c r="Z10" s="19">
        <v>0</v>
      </c>
      <c r="AA10" s="19">
        <v>0</v>
      </c>
      <c r="AB10" s="19">
        <v>0</v>
      </c>
      <c r="AC10" s="186" t="str">
        <f>IF(OR(M10="13",M10="14",P10=8),"",IF(     AND(OR(S10="AUTORIZADO", S10="PENDIENTE", S10="REDUCIDO", S10="AMPLIADO"),L10&lt;&gt;"HONORARIO" ), _xlfn.CONCAT(IF(H10="X","H",H10),"_",IF(OR(P10=5,P10=6),_xlfn.CONCAT(P10,"A"),P10),"_",VLOOKUP(T10,Datos!$B$2:$C$5,2,TRUE)),""))</f>
        <v>M_1_[4 a 10]</v>
      </c>
      <c r="AD10" s="186">
        <f t="shared" si="10"/>
        <v>0</v>
      </c>
      <c r="AE10" s="90" t="str">
        <f t="shared" si="11"/>
        <v>-</v>
      </c>
      <c r="AF10" s="91" t="str">
        <f t="shared" si="12"/>
        <v>071901</v>
      </c>
      <c r="AG10" s="92"/>
      <c r="AH10" s="93" t="str">
        <f t="shared" si="13"/>
        <v>Comité Innova Chile</v>
      </c>
      <c r="AI10" s="90" t="str">
        <f t="shared" si="14"/>
        <v>-</v>
      </c>
      <c r="AJ10" s="90">
        <f t="shared" si="15"/>
        <v>7</v>
      </c>
      <c r="AK10" s="90" t="str">
        <f t="shared" si="16"/>
        <v>-</v>
      </c>
      <c r="AL10" s="90" t="str">
        <f t="shared" si="17"/>
        <v>Identifica este registro como MUJER</v>
      </c>
      <c r="AM10" s="90" t="str">
        <f t="shared" si="18"/>
        <v>-</v>
      </c>
      <c r="AN10" s="90" t="str">
        <f t="shared" si="19"/>
        <v>-</v>
      </c>
      <c r="AO10" s="90" t="str">
        <f t="shared" si="20"/>
        <v>-</v>
      </c>
      <c r="AP10" s="58" t="str">
        <f t="shared" si="21"/>
        <v>-</v>
      </c>
      <c r="AQ10" s="94" t="str">
        <f t="shared" si="22"/>
        <v>-</v>
      </c>
      <c r="AR10" s="94" t="str">
        <f>IF(N10="","PRIMER_DIA en blanco",
IF(AND(M10="01",N10&gt;=L_Conversion!$C$118,N10&lt;=L_Conversion!$D$118),"-",
IF(AND(M10="02",N10&gt;=L_Conversion!$C$119,N10&lt;=L_Conversion!$D$119),"-",
IF(AND(M10="03",N10&gt;=L_Conversion!$C$120,N10&lt;=L_Conversion!$D$120),"-",
IF(AND(M10="04",N10&gt;=L_Conversion!$C$121,N10&lt;=L_Conversion!$D$121),"-",
IF(AND(M10="05",N10&gt;=L_Conversion!$C$122,N10&lt;=L_Conversion!$D$122),"-",
IF(AND(M10="06",N10&gt;=L_Conversion!$C$123,N10&lt;=L_Conversion!$D$123),"-",
IF(AND(M10="07",N10&gt;=L_Conversion!$C$124,N10&lt;=L_Conversion!$D$124),"-",
IF(AND(M10="08",N10&gt;=L_Conversion!$C$125,N10&lt;=L_Conversion!$D$125),"-",
IF(AND(M10="09",N10&gt;=L_Conversion!$C$126,N10&lt;=L_Conversion!$D$126),"-",
IF(AND(M10="10",N10&gt;=L_Conversion!$C$127,N10&lt;=L_Conversion!$D$127),"-",
IF(AND(M10="11",N10&gt;=L_Conversion!$C$128,N10&lt;=L_Conversion!$D$128),"-",
IF(AND(M10="12",N10&gt;=L_Conversion!$C$129,N10&lt;=L_Conversion!$D$129),"-",
IF(AND(M10="13",N10&gt;=L_Conversion!$C$116,N10&lt;=L_Conversion!$D$116),"-",
IF(AND(M10="14",N10&gt;=L_Conversion!$C$117,N10&lt;=L_Conversion!$D$117),"-",
"PRIMER_DIA fuera de rango")))))))))))))))</f>
        <v>-</v>
      </c>
      <c r="AS10" s="94" t="str">
        <f t="shared" si="23"/>
        <v>-</v>
      </c>
      <c r="AT10" s="94" t="str">
        <f t="shared" si="24"/>
        <v>-</v>
      </c>
      <c r="AU10" s="94" t="str">
        <f t="shared" si="25"/>
        <v>-</v>
      </c>
      <c r="AV10" s="94" t="str">
        <f t="shared" si="26"/>
        <v>-</v>
      </c>
      <c r="AW10" s="94" t="str">
        <f t="shared" si="27"/>
        <v>-</v>
      </c>
      <c r="AX10" s="94" t="str">
        <f t="shared" si="28"/>
        <v>-</v>
      </c>
      <c r="AY10" s="94" t="str">
        <f t="shared" si="29"/>
        <v>-</v>
      </c>
      <c r="AZ10" s="94" t="str">
        <f t="shared" si="30"/>
        <v>-</v>
      </c>
      <c r="BA10" s="94" t="str">
        <f t="shared" si="31"/>
        <v>-</v>
      </c>
      <c r="BB10" s="94" t="str">
        <f t="shared" si="32"/>
        <v>-</v>
      </c>
      <c r="BC10" s="94" t="str">
        <f t="shared" si="33"/>
        <v>-</v>
      </c>
      <c r="BD10" s="94" t="str">
        <f t="shared" si="34"/>
        <v>-</v>
      </c>
      <c r="BE10" s="94" t="str">
        <f t="shared" si="35"/>
        <v>-</v>
      </c>
      <c r="BF10" s="94" t="str">
        <f t="shared" si="36"/>
        <v>-</v>
      </c>
      <c r="BG10" s="186" t="str">
        <f>IF(OR(AQ10="13",AQ10="14",AT10=8),"",IF(     AND(OR(AW10="AUTORIZADO", AW10="PENDIENTE", AW10="REDUCIDO", AW10="AMPLIADO"),AP10&lt;&gt;"HONORARIO" ), _xlfn.CONCAT(IF(AL10="X","H",AL10),"_",IF(OR(AT10=5,AT10=6),_xlfn.CONCAT(AT10,"A"),AT10),"_",VLOOKUP(AX10,Datos!$B$2:$C$5,2,TRUE)),""))</f>
        <v/>
      </c>
    </row>
    <row r="11" spans="1:59" x14ac:dyDescent="0.2">
      <c r="A11" s="19" t="s">
        <v>1193</v>
      </c>
      <c r="B11" s="19" t="s">
        <v>81</v>
      </c>
      <c r="C11" s="19">
        <v>15546119</v>
      </c>
      <c r="D11" s="19">
        <v>5</v>
      </c>
      <c r="E11" s="19" t="s">
        <v>1214</v>
      </c>
      <c r="F11" s="19" t="s">
        <v>1215</v>
      </c>
      <c r="G11" s="19" t="s">
        <v>1216</v>
      </c>
      <c r="H11" s="19" t="s">
        <v>654</v>
      </c>
      <c r="I11" s="19" t="s">
        <v>653</v>
      </c>
      <c r="J11" s="19">
        <v>80</v>
      </c>
      <c r="K11" s="19" t="s">
        <v>560</v>
      </c>
      <c r="L11" s="19" t="s">
        <v>495</v>
      </c>
      <c r="M11" s="19" t="s">
        <v>18</v>
      </c>
      <c r="N11" s="19">
        <v>45684</v>
      </c>
      <c r="O11" s="19">
        <v>3</v>
      </c>
      <c r="P11" s="83">
        <v>1</v>
      </c>
      <c r="Q11" s="19" t="s">
        <v>23</v>
      </c>
      <c r="R11" s="19" t="s">
        <v>11</v>
      </c>
      <c r="S11" s="19" t="s">
        <v>23</v>
      </c>
      <c r="T11" s="19">
        <v>3</v>
      </c>
      <c r="U11" s="19" t="s">
        <v>11</v>
      </c>
      <c r="V11" s="19" t="s">
        <v>11</v>
      </c>
      <c r="W11" s="19" t="s">
        <v>11</v>
      </c>
      <c r="X11" s="19">
        <v>0</v>
      </c>
      <c r="Y11" s="19" t="s">
        <v>730</v>
      </c>
      <c r="Z11" s="19">
        <v>0</v>
      </c>
      <c r="AA11" s="19">
        <v>0</v>
      </c>
      <c r="AB11" s="19">
        <v>0</v>
      </c>
      <c r="AC11" s="186" t="str">
        <f>IF(OR(M11="13",M11="14",P11=8),"",IF(     AND(OR(S11="AUTORIZADO", S11="PENDIENTE", S11="REDUCIDO", S11="AMPLIADO"),L11&lt;&gt;"HONORARIO" ), _xlfn.CONCAT(IF(H11="X","H",H11),"_",IF(OR(P11=5,P11=6),_xlfn.CONCAT(P11,"A"),P11),"_",VLOOKUP(T11,Datos!$B$2:$C$5,2,TRUE)),""))</f>
        <v>H_1_[hasta 3]</v>
      </c>
      <c r="AD11" s="186">
        <f t="shared" si="10"/>
        <v>0</v>
      </c>
      <c r="AE11" s="90" t="str">
        <f t="shared" si="11"/>
        <v>-</v>
      </c>
      <c r="AF11" s="91" t="str">
        <f t="shared" si="12"/>
        <v>071901</v>
      </c>
      <c r="AG11" s="92"/>
      <c r="AH11" s="93" t="str">
        <f t="shared" si="13"/>
        <v>Comité Innova Chile</v>
      </c>
      <c r="AI11" s="90" t="str">
        <f t="shared" si="14"/>
        <v>-</v>
      </c>
      <c r="AJ11" s="90">
        <f t="shared" si="15"/>
        <v>5</v>
      </c>
      <c r="AK11" s="90" t="str">
        <f t="shared" si="16"/>
        <v>-</v>
      </c>
      <c r="AL11" s="90" t="str">
        <f t="shared" si="17"/>
        <v>Identifica este registro como HOMBRE</v>
      </c>
      <c r="AM11" s="90" t="str">
        <f t="shared" si="18"/>
        <v>-</v>
      </c>
      <c r="AN11" s="90" t="str">
        <f t="shared" si="19"/>
        <v>-</v>
      </c>
      <c r="AO11" s="90" t="str">
        <f t="shared" si="20"/>
        <v>-</v>
      </c>
      <c r="AP11" s="58" t="str">
        <f t="shared" si="21"/>
        <v>-</v>
      </c>
      <c r="AQ11" s="94" t="str">
        <f t="shared" si="22"/>
        <v>-</v>
      </c>
      <c r="AR11" s="94" t="str">
        <f>IF(N11="","PRIMER_DIA en blanco",
IF(AND(M11="01",N11&gt;=L_Conversion!$C$118,N11&lt;=L_Conversion!$D$118),"-",
IF(AND(M11="02",N11&gt;=L_Conversion!$C$119,N11&lt;=L_Conversion!$D$119),"-",
IF(AND(M11="03",N11&gt;=L_Conversion!$C$120,N11&lt;=L_Conversion!$D$120),"-",
IF(AND(M11="04",N11&gt;=L_Conversion!$C$121,N11&lt;=L_Conversion!$D$121),"-",
IF(AND(M11="05",N11&gt;=L_Conversion!$C$122,N11&lt;=L_Conversion!$D$122),"-",
IF(AND(M11="06",N11&gt;=L_Conversion!$C$123,N11&lt;=L_Conversion!$D$123),"-",
IF(AND(M11="07",N11&gt;=L_Conversion!$C$124,N11&lt;=L_Conversion!$D$124),"-",
IF(AND(M11="08",N11&gt;=L_Conversion!$C$125,N11&lt;=L_Conversion!$D$125),"-",
IF(AND(M11="09",N11&gt;=L_Conversion!$C$126,N11&lt;=L_Conversion!$D$126),"-",
IF(AND(M11="10",N11&gt;=L_Conversion!$C$127,N11&lt;=L_Conversion!$D$127),"-",
IF(AND(M11="11",N11&gt;=L_Conversion!$C$128,N11&lt;=L_Conversion!$D$128),"-",
IF(AND(M11="12",N11&gt;=L_Conversion!$C$129,N11&lt;=L_Conversion!$D$129),"-",
IF(AND(M11="13",N11&gt;=L_Conversion!$C$116,N11&lt;=L_Conversion!$D$116),"-",
IF(AND(M11="14",N11&gt;=L_Conversion!$C$117,N11&lt;=L_Conversion!$D$117),"-",
"PRIMER_DIA fuera de rango")))))))))))))))</f>
        <v>-</v>
      </c>
      <c r="AS11" s="94" t="str">
        <f t="shared" si="23"/>
        <v>-</v>
      </c>
      <c r="AT11" s="94" t="str">
        <f t="shared" si="24"/>
        <v>-</v>
      </c>
      <c r="AU11" s="94" t="str">
        <f t="shared" si="25"/>
        <v>-</v>
      </c>
      <c r="AV11" s="94" t="str">
        <f t="shared" si="26"/>
        <v>-</v>
      </c>
      <c r="AW11" s="94" t="str">
        <f t="shared" si="27"/>
        <v>-</v>
      </c>
      <c r="AX11" s="94" t="str">
        <f t="shared" si="28"/>
        <v>-</v>
      </c>
      <c r="AY11" s="94" t="str">
        <f t="shared" si="29"/>
        <v>-</v>
      </c>
      <c r="AZ11" s="94" t="str">
        <f t="shared" si="30"/>
        <v>-</v>
      </c>
      <c r="BA11" s="94" t="str">
        <f t="shared" si="31"/>
        <v>-</v>
      </c>
      <c r="BB11" s="94" t="str">
        <f t="shared" si="32"/>
        <v>-</v>
      </c>
      <c r="BC11" s="94" t="str">
        <f t="shared" si="33"/>
        <v>-</v>
      </c>
      <c r="BD11" s="94" t="str">
        <f t="shared" si="34"/>
        <v>-</v>
      </c>
      <c r="BE11" s="94" t="str">
        <f t="shared" si="35"/>
        <v>-</v>
      </c>
      <c r="BF11" s="94" t="str">
        <f t="shared" si="36"/>
        <v>-</v>
      </c>
      <c r="BG11" s="186" t="str">
        <f>IF(OR(AQ11="13",AQ11="14",AT11=8),"",IF(     AND(OR(AW11="AUTORIZADO", AW11="PENDIENTE", AW11="REDUCIDO", AW11="AMPLIADO"),AP11&lt;&gt;"HONORARIO" ), _xlfn.CONCAT(IF(AL11="X","H",AL11),"_",IF(OR(AT11=5,AT11=6),_xlfn.CONCAT(AT11,"A"),AT11),"_",VLOOKUP(AX11,Datos!$B$2:$C$5,2,TRUE)),""))</f>
        <v/>
      </c>
    </row>
    <row r="12" spans="1:59" x14ac:dyDescent="0.2">
      <c r="A12" s="19" t="s">
        <v>1193</v>
      </c>
      <c r="B12" s="19" t="s">
        <v>81</v>
      </c>
      <c r="C12" s="19">
        <v>15842034</v>
      </c>
      <c r="D12" s="19">
        <v>1</v>
      </c>
      <c r="E12" s="19" t="s">
        <v>1217</v>
      </c>
      <c r="F12" s="19" t="s">
        <v>1218</v>
      </c>
      <c r="G12" s="19" t="s">
        <v>1219</v>
      </c>
      <c r="H12" s="19" t="s">
        <v>654</v>
      </c>
      <c r="I12" s="19" t="s">
        <v>653</v>
      </c>
      <c r="J12" s="19">
        <v>80</v>
      </c>
      <c r="K12" s="19" t="s">
        <v>556</v>
      </c>
      <c r="L12" s="19" t="s">
        <v>495</v>
      </c>
      <c r="M12" s="19" t="s">
        <v>18</v>
      </c>
      <c r="N12" s="19">
        <v>45685</v>
      </c>
      <c r="O12" s="19">
        <v>5</v>
      </c>
      <c r="P12" s="83">
        <v>1</v>
      </c>
      <c r="Q12" s="19" t="s">
        <v>23</v>
      </c>
      <c r="R12" s="19" t="s">
        <v>11</v>
      </c>
      <c r="S12" s="19" t="s">
        <v>23</v>
      </c>
      <c r="T12" s="19">
        <v>5</v>
      </c>
      <c r="U12" s="19" t="s">
        <v>11</v>
      </c>
      <c r="V12" s="19" t="s">
        <v>11</v>
      </c>
      <c r="W12" s="19" t="s">
        <v>11</v>
      </c>
      <c r="X12" s="19">
        <v>0</v>
      </c>
      <c r="Y12" s="19" t="s">
        <v>730</v>
      </c>
      <c r="Z12" s="19">
        <v>0</v>
      </c>
      <c r="AA12" s="19">
        <v>0</v>
      </c>
      <c r="AB12" s="19">
        <v>0</v>
      </c>
      <c r="AC12" s="186" t="str">
        <f>IF(OR(M12="13",M12="14",P12=8),"",IF(     AND(OR(S12="AUTORIZADO", S12="PENDIENTE", S12="REDUCIDO", S12="AMPLIADO"),L12&lt;&gt;"HONORARIO" ), _xlfn.CONCAT(IF(H12="X","H",H12),"_",IF(OR(P12=5,P12=6),_xlfn.CONCAT(P12,"A"),P12),"_",VLOOKUP(T12,Datos!$B$2:$C$5,2,TRUE)),""))</f>
        <v>H_1_[4 a 10]</v>
      </c>
      <c r="AD12" s="186">
        <f t="shared" si="10"/>
        <v>0</v>
      </c>
      <c r="AE12" s="90" t="str">
        <f t="shared" si="11"/>
        <v>-</v>
      </c>
      <c r="AF12" s="91" t="str">
        <f t="shared" si="12"/>
        <v>071901</v>
      </c>
      <c r="AG12" s="92"/>
      <c r="AH12" s="93" t="str">
        <f t="shared" si="13"/>
        <v>Comité Innova Chile</v>
      </c>
      <c r="AI12" s="90" t="str">
        <f t="shared" si="14"/>
        <v>-</v>
      </c>
      <c r="AJ12" s="90">
        <f t="shared" si="15"/>
        <v>1</v>
      </c>
      <c r="AK12" s="90" t="str">
        <f t="shared" si="16"/>
        <v>-</v>
      </c>
      <c r="AL12" s="90" t="str">
        <f t="shared" si="17"/>
        <v>Identifica este registro como HOMBRE</v>
      </c>
      <c r="AM12" s="90" t="str">
        <f t="shared" si="18"/>
        <v>-</v>
      </c>
      <c r="AN12" s="90" t="str">
        <f t="shared" si="19"/>
        <v>-</v>
      </c>
      <c r="AO12" s="90" t="str">
        <f t="shared" si="20"/>
        <v>-</v>
      </c>
      <c r="AP12" s="58" t="str">
        <f t="shared" si="21"/>
        <v>-</v>
      </c>
      <c r="AQ12" s="94" t="str">
        <f t="shared" si="22"/>
        <v>-</v>
      </c>
      <c r="AR12" s="94" t="str">
        <f>IF(N12="","PRIMER_DIA en blanco",
IF(AND(M12="01",N12&gt;=L_Conversion!$C$118,N12&lt;=L_Conversion!$D$118),"-",
IF(AND(M12="02",N12&gt;=L_Conversion!$C$119,N12&lt;=L_Conversion!$D$119),"-",
IF(AND(M12="03",N12&gt;=L_Conversion!$C$120,N12&lt;=L_Conversion!$D$120),"-",
IF(AND(M12="04",N12&gt;=L_Conversion!$C$121,N12&lt;=L_Conversion!$D$121),"-",
IF(AND(M12="05",N12&gt;=L_Conversion!$C$122,N12&lt;=L_Conversion!$D$122),"-",
IF(AND(M12="06",N12&gt;=L_Conversion!$C$123,N12&lt;=L_Conversion!$D$123),"-",
IF(AND(M12="07",N12&gt;=L_Conversion!$C$124,N12&lt;=L_Conversion!$D$124),"-",
IF(AND(M12="08",N12&gt;=L_Conversion!$C$125,N12&lt;=L_Conversion!$D$125),"-",
IF(AND(M12="09",N12&gt;=L_Conversion!$C$126,N12&lt;=L_Conversion!$D$126),"-",
IF(AND(M12="10",N12&gt;=L_Conversion!$C$127,N12&lt;=L_Conversion!$D$127),"-",
IF(AND(M12="11",N12&gt;=L_Conversion!$C$128,N12&lt;=L_Conversion!$D$128),"-",
IF(AND(M12="12",N12&gt;=L_Conversion!$C$129,N12&lt;=L_Conversion!$D$129),"-",
IF(AND(M12="13",N12&gt;=L_Conversion!$C$116,N12&lt;=L_Conversion!$D$116),"-",
IF(AND(M12="14",N12&gt;=L_Conversion!$C$117,N12&lt;=L_Conversion!$D$117),"-",
"PRIMER_DIA fuera de rango")))))))))))))))</f>
        <v>-</v>
      </c>
      <c r="AS12" s="94" t="str">
        <f t="shared" si="23"/>
        <v>-</v>
      </c>
      <c r="AT12" s="94" t="str">
        <f t="shared" si="24"/>
        <v>-</v>
      </c>
      <c r="AU12" s="94" t="str">
        <f t="shared" si="25"/>
        <v>-</v>
      </c>
      <c r="AV12" s="94" t="str">
        <f t="shared" si="26"/>
        <v>-</v>
      </c>
      <c r="AW12" s="94" t="str">
        <f t="shared" si="27"/>
        <v>-</v>
      </c>
      <c r="AX12" s="94" t="str">
        <f t="shared" si="28"/>
        <v>-</v>
      </c>
      <c r="AY12" s="94" t="str">
        <f t="shared" si="29"/>
        <v>-</v>
      </c>
      <c r="AZ12" s="94" t="str">
        <f t="shared" si="30"/>
        <v>-</v>
      </c>
      <c r="BA12" s="94" t="str">
        <f t="shared" si="31"/>
        <v>-</v>
      </c>
      <c r="BB12" s="94" t="str">
        <f t="shared" si="32"/>
        <v>-</v>
      </c>
      <c r="BC12" s="94" t="str">
        <f t="shared" si="33"/>
        <v>-</v>
      </c>
      <c r="BD12" s="94" t="str">
        <f t="shared" si="34"/>
        <v>-</v>
      </c>
      <c r="BE12" s="94" t="str">
        <f t="shared" si="35"/>
        <v>-</v>
      </c>
      <c r="BF12" s="94" t="str">
        <f t="shared" si="36"/>
        <v>-</v>
      </c>
      <c r="BG12" s="186" t="str">
        <f>IF(OR(AQ12="13",AQ12="14",AT12=8),"",IF(     AND(OR(AW12="AUTORIZADO", AW12="PENDIENTE", AW12="REDUCIDO", AW12="AMPLIADO"),AP12&lt;&gt;"HONORARIO" ), _xlfn.CONCAT(IF(AL12="X","H",AL12),"_",IF(OR(AT12=5,AT12=6),_xlfn.CONCAT(AT12,"A"),AT12),"_",VLOOKUP(AX12,Datos!$B$2:$C$5,2,TRUE)),""))</f>
        <v/>
      </c>
    </row>
    <row r="13" spans="1:59" x14ac:dyDescent="0.2">
      <c r="A13" s="19" t="s">
        <v>1193</v>
      </c>
      <c r="B13" s="19" t="s">
        <v>81</v>
      </c>
      <c r="C13" s="19">
        <v>17413900</v>
      </c>
      <c r="D13" s="19">
        <v>8</v>
      </c>
      <c r="E13" s="19" t="s">
        <v>1220</v>
      </c>
      <c r="F13" s="19" t="s">
        <v>1221</v>
      </c>
      <c r="G13" s="19" t="s">
        <v>1222</v>
      </c>
      <c r="H13" s="19" t="s">
        <v>1018</v>
      </c>
      <c r="I13" s="19" t="s">
        <v>655</v>
      </c>
      <c r="J13" s="19">
        <v>80</v>
      </c>
      <c r="K13" s="19" t="s">
        <v>556</v>
      </c>
      <c r="L13" s="19" t="s">
        <v>495</v>
      </c>
      <c r="M13" s="19" t="s">
        <v>18</v>
      </c>
      <c r="N13" s="19">
        <v>45688</v>
      </c>
      <c r="O13" s="19">
        <v>7</v>
      </c>
      <c r="P13" s="83">
        <v>1</v>
      </c>
      <c r="Q13" s="19" t="s">
        <v>23</v>
      </c>
      <c r="R13" s="19" t="s">
        <v>11</v>
      </c>
      <c r="S13" s="19" t="s">
        <v>23</v>
      </c>
      <c r="T13" s="19">
        <v>7</v>
      </c>
      <c r="U13" s="19" t="s">
        <v>11</v>
      </c>
      <c r="V13" s="19" t="s">
        <v>11</v>
      </c>
      <c r="W13" s="19" t="s">
        <v>11</v>
      </c>
      <c r="X13" s="19">
        <v>0</v>
      </c>
      <c r="Y13" s="19" t="s">
        <v>730</v>
      </c>
      <c r="Z13" s="19">
        <v>0</v>
      </c>
      <c r="AA13" s="19">
        <v>0</v>
      </c>
      <c r="AB13" s="19">
        <v>0</v>
      </c>
      <c r="AC13" s="186" t="str">
        <f>IF(OR(M13="13",M13="14",P13=8),"",IF(     AND(OR(S13="AUTORIZADO", S13="PENDIENTE", S13="REDUCIDO", S13="AMPLIADO"),L13&lt;&gt;"HONORARIO" ), _xlfn.CONCAT(IF(H13="X","H",H13),"_",IF(OR(P13=5,P13=6),_xlfn.CONCAT(P13,"A"),P13),"_",VLOOKUP(T13,Datos!$B$2:$C$5,2,TRUE)),""))</f>
        <v>M_1_[4 a 10]</v>
      </c>
      <c r="AD13" s="186">
        <f t="shared" si="10"/>
        <v>0</v>
      </c>
      <c r="AE13" s="90" t="str">
        <f t="shared" si="11"/>
        <v>-</v>
      </c>
      <c r="AF13" s="91" t="str">
        <f t="shared" si="12"/>
        <v>071901</v>
      </c>
      <c r="AG13" s="92"/>
      <c r="AH13" s="93" t="str">
        <f t="shared" si="13"/>
        <v>Comité Innova Chile</v>
      </c>
      <c r="AI13" s="90" t="str">
        <f t="shared" si="14"/>
        <v>-</v>
      </c>
      <c r="AJ13" s="90">
        <f t="shared" si="15"/>
        <v>8</v>
      </c>
      <c r="AK13" s="90" t="str">
        <f t="shared" si="16"/>
        <v>-</v>
      </c>
      <c r="AL13" s="90" t="str">
        <f t="shared" si="17"/>
        <v>Identifica este registro como MUJER</v>
      </c>
      <c r="AM13" s="90" t="str">
        <f t="shared" si="18"/>
        <v>-</v>
      </c>
      <c r="AN13" s="90" t="str">
        <f t="shared" si="19"/>
        <v>-</v>
      </c>
      <c r="AO13" s="90" t="str">
        <f t="shared" si="20"/>
        <v>-</v>
      </c>
      <c r="AP13" s="58" t="str">
        <f t="shared" si="21"/>
        <v>-</v>
      </c>
      <c r="AQ13" s="94" t="str">
        <f t="shared" si="22"/>
        <v>-</v>
      </c>
      <c r="AR13" s="94" t="str">
        <f>IF(N13="","PRIMER_DIA en blanco",
IF(AND(M13="01",N13&gt;=L_Conversion!$C$118,N13&lt;=L_Conversion!$D$118),"-",
IF(AND(M13="02",N13&gt;=L_Conversion!$C$119,N13&lt;=L_Conversion!$D$119),"-",
IF(AND(M13="03",N13&gt;=L_Conversion!$C$120,N13&lt;=L_Conversion!$D$120),"-",
IF(AND(M13="04",N13&gt;=L_Conversion!$C$121,N13&lt;=L_Conversion!$D$121),"-",
IF(AND(M13="05",N13&gt;=L_Conversion!$C$122,N13&lt;=L_Conversion!$D$122),"-",
IF(AND(M13="06",N13&gt;=L_Conversion!$C$123,N13&lt;=L_Conversion!$D$123),"-",
IF(AND(M13="07",N13&gt;=L_Conversion!$C$124,N13&lt;=L_Conversion!$D$124),"-",
IF(AND(M13="08",N13&gt;=L_Conversion!$C$125,N13&lt;=L_Conversion!$D$125),"-",
IF(AND(M13="09",N13&gt;=L_Conversion!$C$126,N13&lt;=L_Conversion!$D$126),"-",
IF(AND(M13="10",N13&gt;=L_Conversion!$C$127,N13&lt;=L_Conversion!$D$127),"-",
IF(AND(M13="11",N13&gt;=L_Conversion!$C$128,N13&lt;=L_Conversion!$D$128),"-",
IF(AND(M13="12",N13&gt;=L_Conversion!$C$129,N13&lt;=L_Conversion!$D$129),"-",
IF(AND(M13="13",N13&gt;=L_Conversion!$C$116,N13&lt;=L_Conversion!$D$116),"-",
IF(AND(M13="14",N13&gt;=L_Conversion!$C$117,N13&lt;=L_Conversion!$D$117),"-",
"PRIMER_DIA fuera de rango")))))))))))))))</f>
        <v>-</v>
      </c>
      <c r="AS13" s="94" t="str">
        <f t="shared" si="23"/>
        <v>-</v>
      </c>
      <c r="AT13" s="94" t="str">
        <f t="shared" si="24"/>
        <v>-</v>
      </c>
      <c r="AU13" s="94" t="str">
        <f t="shared" si="25"/>
        <v>-</v>
      </c>
      <c r="AV13" s="94" t="str">
        <f t="shared" si="26"/>
        <v>-</v>
      </c>
      <c r="AW13" s="94" t="str">
        <f t="shared" si="27"/>
        <v>-</v>
      </c>
      <c r="AX13" s="94" t="str">
        <f t="shared" si="28"/>
        <v>-</v>
      </c>
      <c r="AY13" s="94" t="str">
        <f t="shared" si="29"/>
        <v>-</v>
      </c>
      <c r="AZ13" s="94" t="str">
        <f t="shared" si="30"/>
        <v>-</v>
      </c>
      <c r="BA13" s="94" t="str">
        <f t="shared" si="31"/>
        <v>-</v>
      </c>
      <c r="BB13" s="94" t="str">
        <f t="shared" si="32"/>
        <v>-</v>
      </c>
      <c r="BC13" s="94" t="str">
        <f t="shared" si="33"/>
        <v>-</v>
      </c>
      <c r="BD13" s="94" t="str">
        <f t="shared" si="34"/>
        <v>-</v>
      </c>
      <c r="BE13" s="94" t="str">
        <f t="shared" si="35"/>
        <v>-</v>
      </c>
      <c r="BF13" s="94" t="str">
        <f t="shared" si="36"/>
        <v>-</v>
      </c>
      <c r="BG13" s="186" t="str">
        <f>IF(OR(AQ13="13",AQ13="14",AT13=8),"",IF(     AND(OR(AW13="AUTORIZADO", AW13="PENDIENTE", AW13="REDUCIDO", AW13="AMPLIADO"),AP13&lt;&gt;"HONORARIO" ), _xlfn.CONCAT(IF(AL13="X","H",AL13),"_",IF(OR(AT13=5,AT13=6),_xlfn.CONCAT(AT13,"A"),AT13),"_",VLOOKUP(AX13,Datos!$B$2:$C$5,2,TRUE)),""))</f>
        <v/>
      </c>
    </row>
    <row r="14" spans="1:59" x14ac:dyDescent="0.2">
      <c r="A14" s="19" t="s">
        <v>1193</v>
      </c>
      <c r="B14" s="19" t="s">
        <v>81</v>
      </c>
      <c r="C14" s="19">
        <v>18799796</v>
      </c>
      <c r="D14" s="19">
        <v>8</v>
      </c>
      <c r="E14" s="19" t="s">
        <v>1223</v>
      </c>
      <c r="F14" s="19" t="s">
        <v>1224</v>
      </c>
      <c r="G14" s="19" t="s">
        <v>1225</v>
      </c>
      <c r="H14" s="19" t="s">
        <v>1018</v>
      </c>
      <c r="I14" s="19" t="s">
        <v>653</v>
      </c>
      <c r="J14" s="19">
        <v>80</v>
      </c>
      <c r="K14" s="19" t="s">
        <v>556</v>
      </c>
      <c r="L14" s="19" t="s">
        <v>495</v>
      </c>
      <c r="M14" s="19" t="s">
        <v>18</v>
      </c>
      <c r="N14" s="19">
        <v>45688</v>
      </c>
      <c r="O14" s="19">
        <v>1</v>
      </c>
      <c r="P14" s="83">
        <v>1</v>
      </c>
      <c r="Q14" s="19" t="s">
        <v>23</v>
      </c>
      <c r="R14" s="19" t="s">
        <v>11</v>
      </c>
      <c r="S14" s="19" t="s">
        <v>23</v>
      </c>
      <c r="T14" s="19">
        <v>1</v>
      </c>
      <c r="U14" s="19" t="s">
        <v>11</v>
      </c>
      <c r="V14" s="19" t="s">
        <v>11</v>
      </c>
      <c r="W14" s="19" t="s">
        <v>11</v>
      </c>
      <c r="X14" s="19">
        <v>0</v>
      </c>
      <c r="Y14" s="19" t="s">
        <v>730</v>
      </c>
      <c r="Z14" s="19">
        <v>0</v>
      </c>
      <c r="AA14" s="19">
        <v>0</v>
      </c>
      <c r="AB14" s="19">
        <v>0</v>
      </c>
      <c r="AC14" s="186" t="str">
        <f>IF(OR(M14="13",M14="14",P14=8),"",IF(     AND(OR(S14="AUTORIZADO", S14="PENDIENTE", S14="REDUCIDO", S14="AMPLIADO"),L14&lt;&gt;"HONORARIO" ), _xlfn.CONCAT(IF(H14="X","H",H14),"_",IF(OR(P14=5,P14=6),_xlfn.CONCAT(P14,"A"),P14),"_",VLOOKUP(T14,Datos!$B$2:$C$5,2,TRUE)),""))</f>
        <v>M_1_[hasta 3]</v>
      </c>
      <c r="AD14" s="186">
        <f t="shared" si="10"/>
        <v>0</v>
      </c>
      <c r="AE14" s="90" t="str">
        <f t="shared" si="11"/>
        <v>-</v>
      </c>
      <c r="AF14" s="91" t="str">
        <f t="shared" si="12"/>
        <v>071901</v>
      </c>
      <c r="AG14" s="92"/>
      <c r="AH14" s="93" t="str">
        <f t="shared" si="13"/>
        <v>Comité Innova Chile</v>
      </c>
      <c r="AI14" s="90" t="str">
        <f t="shared" si="14"/>
        <v>-</v>
      </c>
      <c r="AJ14" s="90">
        <f t="shared" si="15"/>
        <v>8</v>
      </c>
      <c r="AK14" s="90" t="str">
        <f t="shared" si="16"/>
        <v>-</v>
      </c>
      <c r="AL14" s="90" t="str">
        <f t="shared" si="17"/>
        <v>Identifica este registro como MUJER</v>
      </c>
      <c r="AM14" s="90" t="str">
        <f t="shared" si="18"/>
        <v>-</v>
      </c>
      <c r="AN14" s="90" t="str">
        <f t="shared" si="19"/>
        <v>-</v>
      </c>
      <c r="AO14" s="90" t="str">
        <f t="shared" si="20"/>
        <v>-</v>
      </c>
      <c r="AP14" s="58" t="str">
        <f t="shared" si="21"/>
        <v>-</v>
      </c>
      <c r="AQ14" s="94" t="str">
        <f t="shared" si="22"/>
        <v>-</v>
      </c>
      <c r="AR14" s="94" t="str">
        <f>IF(N14="","PRIMER_DIA en blanco",
IF(AND(M14="01",N14&gt;=L_Conversion!$C$118,N14&lt;=L_Conversion!$D$118),"-",
IF(AND(M14="02",N14&gt;=L_Conversion!$C$119,N14&lt;=L_Conversion!$D$119),"-",
IF(AND(M14="03",N14&gt;=L_Conversion!$C$120,N14&lt;=L_Conversion!$D$120),"-",
IF(AND(M14="04",N14&gt;=L_Conversion!$C$121,N14&lt;=L_Conversion!$D$121),"-",
IF(AND(M14="05",N14&gt;=L_Conversion!$C$122,N14&lt;=L_Conversion!$D$122),"-",
IF(AND(M14="06",N14&gt;=L_Conversion!$C$123,N14&lt;=L_Conversion!$D$123),"-",
IF(AND(M14="07",N14&gt;=L_Conversion!$C$124,N14&lt;=L_Conversion!$D$124),"-",
IF(AND(M14="08",N14&gt;=L_Conversion!$C$125,N14&lt;=L_Conversion!$D$125),"-",
IF(AND(M14="09",N14&gt;=L_Conversion!$C$126,N14&lt;=L_Conversion!$D$126),"-",
IF(AND(M14="10",N14&gt;=L_Conversion!$C$127,N14&lt;=L_Conversion!$D$127),"-",
IF(AND(M14="11",N14&gt;=L_Conversion!$C$128,N14&lt;=L_Conversion!$D$128),"-",
IF(AND(M14="12",N14&gt;=L_Conversion!$C$129,N14&lt;=L_Conversion!$D$129),"-",
IF(AND(M14="13",N14&gt;=L_Conversion!$C$116,N14&lt;=L_Conversion!$D$116),"-",
IF(AND(M14="14",N14&gt;=L_Conversion!$C$117,N14&lt;=L_Conversion!$D$117),"-",
"PRIMER_DIA fuera de rango")))))))))))))))</f>
        <v>-</v>
      </c>
      <c r="AS14" s="94" t="str">
        <f t="shared" si="23"/>
        <v>-</v>
      </c>
      <c r="AT14" s="94" t="str">
        <f t="shared" si="24"/>
        <v>-</v>
      </c>
      <c r="AU14" s="94" t="str">
        <f t="shared" si="25"/>
        <v>-</v>
      </c>
      <c r="AV14" s="94" t="str">
        <f t="shared" si="26"/>
        <v>-</v>
      </c>
      <c r="AW14" s="94" t="str">
        <f t="shared" si="27"/>
        <v>-</v>
      </c>
      <c r="AX14" s="94" t="str">
        <f t="shared" si="28"/>
        <v>-</v>
      </c>
      <c r="AY14" s="94" t="str">
        <f t="shared" si="29"/>
        <v>-</v>
      </c>
      <c r="AZ14" s="94" t="str">
        <f t="shared" si="30"/>
        <v>-</v>
      </c>
      <c r="BA14" s="94" t="str">
        <f t="shared" si="31"/>
        <v>-</v>
      </c>
      <c r="BB14" s="94" t="str">
        <f t="shared" si="32"/>
        <v>-</v>
      </c>
      <c r="BC14" s="94" t="str">
        <f t="shared" si="33"/>
        <v>-</v>
      </c>
      <c r="BD14" s="94" t="str">
        <f t="shared" si="34"/>
        <v>-</v>
      </c>
      <c r="BE14" s="94" t="str">
        <f t="shared" si="35"/>
        <v>-</v>
      </c>
      <c r="BF14" s="94" t="str">
        <f t="shared" si="36"/>
        <v>-</v>
      </c>
      <c r="BG14" s="186" t="str">
        <f>IF(OR(AQ14="13",AQ14="14",AT14=8),"",IF(     AND(OR(AW14="AUTORIZADO", AW14="PENDIENTE", AW14="REDUCIDO", AW14="AMPLIADO"),AP14&lt;&gt;"HONORARIO" ), _xlfn.CONCAT(IF(AL14="X","H",AL14),"_",IF(OR(AT14=5,AT14=6),_xlfn.CONCAT(AT14,"A"),AT14),"_",VLOOKUP(AX14,Datos!$B$2:$C$5,2,TRUE)),""))</f>
        <v/>
      </c>
    </row>
    <row r="15" spans="1:59" x14ac:dyDescent="0.2">
      <c r="A15" s="19" t="s">
        <v>1193</v>
      </c>
      <c r="B15" s="19" t="s">
        <v>81</v>
      </c>
      <c r="C15" s="19">
        <v>18357668</v>
      </c>
      <c r="D15" s="19">
        <v>2</v>
      </c>
      <c r="E15" s="19" t="s">
        <v>1208</v>
      </c>
      <c r="F15" s="19" t="s">
        <v>1209</v>
      </c>
      <c r="G15" s="19" t="s">
        <v>1210</v>
      </c>
      <c r="H15" s="19" t="s">
        <v>1018</v>
      </c>
      <c r="I15" s="19" t="s">
        <v>653</v>
      </c>
      <c r="J15" s="19">
        <v>80</v>
      </c>
      <c r="K15" s="19" t="s">
        <v>556</v>
      </c>
      <c r="L15" s="19" t="s">
        <v>495</v>
      </c>
      <c r="M15" s="19" t="s">
        <v>21</v>
      </c>
      <c r="N15" s="19">
        <v>45691</v>
      </c>
      <c r="O15" s="19">
        <v>15</v>
      </c>
      <c r="P15" s="83">
        <v>1</v>
      </c>
      <c r="Q15" s="19" t="s">
        <v>23</v>
      </c>
      <c r="R15" s="19" t="s">
        <v>11</v>
      </c>
      <c r="S15" s="19" t="s">
        <v>23</v>
      </c>
      <c r="T15" s="19">
        <v>15</v>
      </c>
      <c r="U15" s="19" t="s">
        <v>11</v>
      </c>
      <c r="V15" s="19" t="s">
        <v>11</v>
      </c>
      <c r="W15" s="19" t="s">
        <v>11</v>
      </c>
      <c r="X15" s="19">
        <v>0</v>
      </c>
      <c r="Y15" s="19" t="s">
        <v>730</v>
      </c>
      <c r="Z15" s="19">
        <v>0</v>
      </c>
      <c r="AA15" s="19">
        <v>0</v>
      </c>
      <c r="AB15" s="19">
        <v>0</v>
      </c>
      <c r="AC15" s="186" t="str">
        <f>IF(OR(M15="13",M15="14",P15=8),"",IF(     AND(OR(S15="AUTORIZADO", S15="PENDIENTE", S15="REDUCIDO", S15="AMPLIADO"),L15&lt;&gt;"HONORARIO" ), _xlfn.CONCAT(IF(H15="X","H",H15),"_",IF(OR(P15=5,P15=6),_xlfn.CONCAT(P15,"A"),P15),"_",VLOOKUP(T15,Datos!$B$2:$C$5,2,TRUE)),""))</f>
        <v>M_1_[11 +]</v>
      </c>
      <c r="AD15" s="186">
        <f t="shared" si="10"/>
        <v>0</v>
      </c>
      <c r="AE15" s="90" t="str">
        <f t="shared" si="11"/>
        <v>-</v>
      </c>
      <c r="AF15" s="91" t="str">
        <f t="shared" si="12"/>
        <v>071901</v>
      </c>
      <c r="AG15" s="92"/>
      <c r="AH15" s="93" t="str">
        <f t="shared" si="13"/>
        <v>Comité Innova Chile</v>
      </c>
      <c r="AI15" s="90" t="str">
        <f t="shared" si="14"/>
        <v>-</v>
      </c>
      <c r="AJ15" s="90">
        <f t="shared" si="15"/>
        <v>2</v>
      </c>
      <c r="AK15" s="90" t="str">
        <f t="shared" si="16"/>
        <v>-</v>
      </c>
      <c r="AL15" s="90" t="str">
        <f t="shared" si="17"/>
        <v>Identifica este registro como MUJER</v>
      </c>
      <c r="AM15" s="90" t="str">
        <f t="shared" si="18"/>
        <v>-</v>
      </c>
      <c r="AN15" s="90" t="str">
        <f t="shared" si="19"/>
        <v>-</v>
      </c>
      <c r="AO15" s="90" t="str">
        <f t="shared" si="20"/>
        <v>-</v>
      </c>
      <c r="AP15" s="58" t="str">
        <f t="shared" si="21"/>
        <v>-</v>
      </c>
      <c r="AQ15" s="94" t="str">
        <f t="shared" si="22"/>
        <v>-</v>
      </c>
      <c r="AR15" s="94" t="str">
        <f>IF(N15="","PRIMER_DIA en blanco",
IF(AND(M15="01",N15&gt;=L_Conversion!$C$118,N15&lt;=L_Conversion!$D$118),"-",
IF(AND(M15="02",N15&gt;=L_Conversion!$C$119,N15&lt;=L_Conversion!$D$119),"-",
IF(AND(M15="03",N15&gt;=L_Conversion!$C$120,N15&lt;=L_Conversion!$D$120),"-",
IF(AND(M15="04",N15&gt;=L_Conversion!$C$121,N15&lt;=L_Conversion!$D$121),"-",
IF(AND(M15="05",N15&gt;=L_Conversion!$C$122,N15&lt;=L_Conversion!$D$122),"-",
IF(AND(M15="06",N15&gt;=L_Conversion!$C$123,N15&lt;=L_Conversion!$D$123),"-",
IF(AND(M15="07",N15&gt;=L_Conversion!$C$124,N15&lt;=L_Conversion!$D$124),"-",
IF(AND(M15="08",N15&gt;=L_Conversion!$C$125,N15&lt;=L_Conversion!$D$125),"-",
IF(AND(M15="09",N15&gt;=L_Conversion!$C$126,N15&lt;=L_Conversion!$D$126),"-",
IF(AND(M15="10",N15&gt;=L_Conversion!$C$127,N15&lt;=L_Conversion!$D$127),"-",
IF(AND(M15="11",N15&gt;=L_Conversion!$C$128,N15&lt;=L_Conversion!$D$128),"-",
IF(AND(M15="12",N15&gt;=L_Conversion!$C$129,N15&lt;=L_Conversion!$D$129),"-",
IF(AND(M15="13",N15&gt;=L_Conversion!$C$116,N15&lt;=L_Conversion!$D$116),"-",
IF(AND(M15="14",N15&gt;=L_Conversion!$C$117,N15&lt;=L_Conversion!$D$117),"-",
"PRIMER_DIA fuera de rango")))))))))))))))</f>
        <v>-</v>
      </c>
      <c r="AS15" s="94" t="str">
        <f t="shared" si="23"/>
        <v>-</v>
      </c>
      <c r="AT15" s="94" t="str">
        <f t="shared" si="24"/>
        <v>-</v>
      </c>
      <c r="AU15" s="94" t="str">
        <f t="shared" si="25"/>
        <v>-</v>
      </c>
      <c r="AV15" s="94" t="str">
        <f t="shared" si="26"/>
        <v>-</v>
      </c>
      <c r="AW15" s="94" t="str">
        <f t="shared" si="27"/>
        <v>-</v>
      </c>
      <c r="AX15" s="94" t="str">
        <f t="shared" si="28"/>
        <v>-</v>
      </c>
      <c r="AY15" s="94" t="str">
        <f t="shared" si="29"/>
        <v>-</v>
      </c>
      <c r="AZ15" s="94" t="str">
        <f t="shared" si="30"/>
        <v>-</v>
      </c>
      <c r="BA15" s="94" t="str">
        <f t="shared" si="31"/>
        <v>-</v>
      </c>
      <c r="BB15" s="94" t="str">
        <f t="shared" si="32"/>
        <v>-</v>
      </c>
      <c r="BC15" s="94" t="str">
        <f t="shared" si="33"/>
        <v>-</v>
      </c>
      <c r="BD15" s="94" t="str">
        <f t="shared" si="34"/>
        <v>-</v>
      </c>
      <c r="BE15" s="94" t="str">
        <f t="shared" si="35"/>
        <v>-</v>
      </c>
      <c r="BF15" s="94" t="str">
        <f t="shared" si="36"/>
        <v>-</v>
      </c>
      <c r="BG15" s="186" t="str">
        <f>IF(OR(AQ15="13",AQ15="14",AT15=8),"",IF(     AND(OR(AW15="AUTORIZADO", AW15="PENDIENTE", AW15="REDUCIDO", AW15="AMPLIADO"),AP15&lt;&gt;"HONORARIO" ), _xlfn.CONCAT(IF(AL15="X","H",AL15),"_",IF(OR(AT15=5,AT15=6),_xlfn.CONCAT(AT15,"A"),AT15),"_",VLOOKUP(AX15,Datos!$B$2:$C$5,2,TRUE)),""))</f>
        <v/>
      </c>
    </row>
    <row r="16" spans="1:59" x14ac:dyDescent="0.2">
      <c r="A16" s="19" t="s">
        <v>1193</v>
      </c>
      <c r="B16" s="19" t="s">
        <v>81</v>
      </c>
      <c r="C16" s="19">
        <v>17413900</v>
      </c>
      <c r="D16" s="19">
        <v>8</v>
      </c>
      <c r="E16" s="19" t="s">
        <v>1220</v>
      </c>
      <c r="F16" s="19" t="s">
        <v>1221</v>
      </c>
      <c r="G16" s="19" t="s">
        <v>1222</v>
      </c>
      <c r="H16" s="19" t="s">
        <v>1018</v>
      </c>
      <c r="I16" s="19" t="s">
        <v>655</v>
      </c>
      <c r="J16" s="19">
        <v>80</v>
      </c>
      <c r="K16" s="19" t="s">
        <v>556</v>
      </c>
      <c r="L16" s="19" t="s">
        <v>495</v>
      </c>
      <c r="M16" s="19" t="s">
        <v>21</v>
      </c>
      <c r="N16" s="19">
        <v>45695</v>
      </c>
      <c r="O16" s="19">
        <v>21</v>
      </c>
      <c r="P16" s="83">
        <v>1</v>
      </c>
      <c r="Q16" s="19" t="s">
        <v>23</v>
      </c>
      <c r="R16" s="19" t="s">
        <v>11</v>
      </c>
      <c r="S16" s="19" t="s">
        <v>23</v>
      </c>
      <c r="T16" s="19">
        <v>21</v>
      </c>
      <c r="U16" s="19" t="s">
        <v>11</v>
      </c>
      <c r="V16" s="19" t="s">
        <v>11</v>
      </c>
      <c r="W16" s="19" t="s">
        <v>11</v>
      </c>
      <c r="X16" s="19">
        <v>0</v>
      </c>
      <c r="Y16" s="19" t="s">
        <v>730</v>
      </c>
      <c r="Z16" s="19">
        <v>0</v>
      </c>
      <c r="AA16" s="19">
        <v>0</v>
      </c>
      <c r="AB16" s="19">
        <v>0</v>
      </c>
      <c r="AC16" s="186" t="str">
        <f>IF(OR(M16="13",M16="14",P16=8),"",IF(     AND(OR(S16="AUTORIZADO", S16="PENDIENTE", S16="REDUCIDO", S16="AMPLIADO"),L16&lt;&gt;"HONORARIO" ), _xlfn.CONCAT(IF(H16="X","H",H16),"_",IF(OR(P16=5,P16=6),_xlfn.CONCAT(P16,"A"),P16),"_",VLOOKUP(T16,Datos!$B$2:$C$5,2,TRUE)),""))</f>
        <v>M_1_[11 +]</v>
      </c>
      <c r="AD16" s="186">
        <f t="shared" si="10"/>
        <v>0</v>
      </c>
      <c r="AE16" s="90" t="str">
        <f t="shared" si="11"/>
        <v>-</v>
      </c>
      <c r="AF16" s="91" t="str">
        <f t="shared" si="12"/>
        <v>071901</v>
      </c>
      <c r="AG16" s="92"/>
      <c r="AH16" s="93" t="str">
        <f t="shared" si="13"/>
        <v>Comité Innova Chile</v>
      </c>
      <c r="AI16" s="90" t="str">
        <f t="shared" si="14"/>
        <v>-</v>
      </c>
      <c r="AJ16" s="90">
        <f t="shared" si="15"/>
        <v>8</v>
      </c>
      <c r="AK16" s="90" t="str">
        <f t="shared" si="16"/>
        <v>-</v>
      </c>
      <c r="AL16" s="90" t="str">
        <f t="shared" si="17"/>
        <v>Identifica este registro como MUJER</v>
      </c>
      <c r="AM16" s="90" t="str">
        <f t="shared" si="18"/>
        <v>-</v>
      </c>
      <c r="AN16" s="90" t="str">
        <f t="shared" si="19"/>
        <v>-</v>
      </c>
      <c r="AO16" s="90" t="str">
        <f t="shared" si="20"/>
        <v>-</v>
      </c>
      <c r="AP16" s="58" t="str">
        <f t="shared" si="21"/>
        <v>-</v>
      </c>
      <c r="AQ16" s="94" t="str">
        <f t="shared" si="22"/>
        <v>-</v>
      </c>
      <c r="AR16" s="94" t="str">
        <f>IF(N16="","PRIMER_DIA en blanco",
IF(AND(M16="01",N16&gt;=L_Conversion!$C$118,N16&lt;=L_Conversion!$D$118),"-",
IF(AND(M16="02",N16&gt;=L_Conversion!$C$119,N16&lt;=L_Conversion!$D$119),"-",
IF(AND(M16="03",N16&gt;=L_Conversion!$C$120,N16&lt;=L_Conversion!$D$120),"-",
IF(AND(M16="04",N16&gt;=L_Conversion!$C$121,N16&lt;=L_Conversion!$D$121),"-",
IF(AND(M16="05",N16&gt;=L_Conversion!$C$122,N16&lt;=L_Conversion!$D$122),"-",
IF(AND(M16="06",N16&gt;=L_Conversion!$C$123,N16&lt;=L_Conversion!$D$123),"-",
IF(AND(M16="07",N16&gt;=L_Conversion!$C$124,N16&lt;=L_Conversion!$D$124),"-",
IF(AND(M16="08",N16&gt;=L_Conversion!$C$125,N16&lt;=L_Conversion!$D$125),"-",
IF(AND(M16="09",N16&gt;=L_Conversion!$C$126,N16&lt;=L_Conversion!$D$126),"-",
IF(AND(M16="10",N16&gt;=L_Conversion!$C$127,N16&lt;=L_Conversion!$D$127),"-",
IF(AND(M16="11",N16&gt;=L_Conversion!$C$128,N16&lt;=L_Conversion!$D$128),"-",
IF(AND(M16="12",N16&gt;=L_Conversion!$C$129,N16&lt;=L_Conversion!$D$129),"-",
IF(AND(M16="13",N16&gt;=L_Conversion!$C$116,N16&lt;=L_Conversion!$D$116),"-",
IF(AND(M16="14",N16&gt;=L_Conversion!$C$117,N16&lt;=L_Conversion!$D$117),"-",
"PRIMER_DIA fuera de rango")))))))))))))))</f>
        <v>-</v>
      </c>
      <c r="AS16" s="94" t="str">
        <f t="shared" si="23"/>
        <v>-</v>
      </c>
      <c r="AT16" s="94" t="str">
        <f t="shared" si="24"/>
        <v>-</v>
      </c>
      <c r="AU16" s="94" t="str">
        <f t="shared" si="25"/>
        <v>-</v>
      </c>
      <c r="AV16" s="94" t="str">
        <f t="shared" si="26"/>
        <v>-</v>
      </c>
      <c r="AW16" s="94" t="str">
        <f t="shared" si="27"/>
        <v>-</v>
      </c>
      <c r="AX16" s="94" t="str">
        <f t="shared" si="28"/>
        <v>-</v>
      </c>
      <c r="AY16" s="94" t="str">
        <f t="shared" si="29"/>
        <v>-</v>
      </c>
      <c r="AZ16" s="94" t="str">
        <f t="shared" si="30"/>
        <v>-</v>
      </c>
      <c r="BA16" s="94" t="str">
        <f t="shared" si="31"/>
        <v>-</v>
      </c>
      <c r="BB16" s="94" t="str">
        <f t="shared" si="32"/>
        <v>-</v>
      </c>
      <c r="BC16" s="94" t="str">
        <f t="shared" si="33"/>
        <v>-</v>
      </c>
      <c r="BD16" s="94" t="str">
        <f t="shared" si="34"/>
        <v>-</v>
      </c>
      <c r="BE16" s="94" t="str">
        <f t="shared" si="35"/>
        <v>-</v>
      </c>
      <c r="BF16" s="94" t="str">
        <f t="shared" si="36"/>
        <v>-</v>
      </c>
      <c r="BG16" s="186" t="str">
        <f>IF(OR(AQ16="13",AQ16="14",AT16=8),"",IF(     AND(OR(AW16="AUTORIZADO", AW16="PENDIENTE", AW16="REDUCIDO", AW16="AMPLIADO"),AP16&lt;&gt;"HONORARIO" ), _xlfn.CONCAT(IF(AL16="X","H",AL16),"_",IF(OR(AT16=5,AT16=6),_xlfn.CONCAT(AT16,"A"),AT16),"_",VLOOKUP(AX16,Datos!$B$2:$C$5,2,TRUE)),""))</f>
        <v/>
      </c>
    </row>
    <row r="17" spans="1:59" x14ac:dyDescent="0.2">
      <c r="A17" s="19" t="s">
        <v>1193</v>
      </c>
      <c r="B17" s="19" t="s">
        <v>81</v>
      </c>
      <c r="C17" s="19">
        <v>9765995</v>
      </c>
      <c r="D17" s="19">
        <v>8</v>
      </c>
      <c r="E17" s="19" t="s">
        <v>1226</v>
      </c>
      <c r="F17" s="19" t="s">
        <v>1227</v>
      </c>
      <c r="G17" s="19" t="s">
        <v>1228</v>
      </c>
      <c r="H17" s="19" t="s">
        <v>1018</v>
      </c>
      <c r="I17" s="19" t="s">
        <v>653</v>
      </c>
      <c r="J17" s="19">
        <v>80</v>
      </c>
      <c r="K17" s="19" t="s">
        <v>554</v>
      </c>
      <c r="L17" s="19" t="s">
        <v>495</v>
      </c>
      <c r="M17" s="19" t="s">
        <v>21</v>
      </c>
      <c r="N17" s="19">
        <v>45699</v>
      </c>
      <c r="O17" s="19">
        <v>4</v>
      </c>
      <c r="P17" s="83">
        <v>1</v>
      </c>
      <c r="Q17" s="19" t="s">
        <v>23</v>
      </c>
      <c r="R17" s="19" t="s">
        <v>11</v>
      </c>
      <c r="S17" s="19" t="s">
        <v>23</v>
      </c>
      <c r="T17" s="19">
        <v>4</v>
      </c>
      <c r="U17" s="19" t="s">
        <v>11</v>
      </c>
      <c r="V17" s="19" t="s">
        <v>11</v>
      </c>
      <c r="W17" s="19" t="s">
        <v>11</v>
      </c>
      <c r="X17" s="19">
        <v>0</v>
      </c>
      <c r="Y17" s="19" t="s">
        <v>730</v>
      </c>
      <c r="Z17" s="19">
        <v>0</v>
      </c>
      <c r="AA17" s="19">
        <v>0</v>
      </c>
      <c r="AB17" s="19">
        <v>0</v>
      </c>
      <c r="AC17" s="186" t="str">
        <f>IF(OR(M17="13",M17="14",P17=8),"",IF(     AND(OR(S17="AUTORIZADO", S17="PENDIENTE", S17="REDUCIDO", S17="AMPLIADO"),L17&lt;&gt;"HONORARIO" ), _xlfn.CONCAT(IF(H17="X","H",H17),"_",IF(OR(P17=5,P17=6),_xlfn.CONCAT(P17,"A"),P17),"_",VLOOKUP(T17,Datos!$B$2:$C$5,2,TRUE)),""))</f>
        <v>M_1_[4 a 10]</v>
      </c>
      <c r="AD17" s="186">
        <f t="shared" si="10"/>
        <v>0</v>
      </c>
      <c r="AE17" s="90" t="str">
        <f t="shared" si="11"/>
        <v>-</v>
      </c>
      <c r="AF17" s="91" t="str">
        <f t="shared" si="12"/>
        <v>071901</v>
      </c>
      <c r="AG17" s="92"/>
      <c r="AH17" s="93" t="str">
        <f t="shared" si="13"/>
        <v>Comité Innova Chile</v>
      </c>
      <c r="AI17" s="90" t="str">
        <f t="shared" si="14"/>
        <v>-</v>
      </c>
      <c r="AJ17" s="90">
        <f t="shared" si="15"/>
        <v>8</v>
      </c>
      <c r="AK17" s="90" t="str">
        <f t="shared" si="16"/>
        <v>-</v>
      </c>
      <c r="AL17" s="90" t="str">
        <f t="shared" si="17"/>
        <v>Identifica este registro como MUJER</v>
      </c>
      <c r="AM17" s="90" t="str">
        <f t="shared" si="18"/>
        <v>-</v>
      </c>
      <c r="AN17" s="90" t="str">
        <f t="shared" si="19"/>
        <v>-</v>
      </c>
      <c r="AO17" s="90" t="str">
        <f t="shared" si="20"/>
        <v>-</v>
      </c>
      <c r="AP17" s="58" t="str">
        <f t="shared" si="21"/>
        <v>-</v>
      </c>
      <c r="AQ17" s="94" t="str">
        <f t="shared" si="22"/>
        <v>-</v>
      </c>
      <c r="AR17" s="94" t="str">
        <f>IF(N17="","PRIMER_DIA en blanco",
IF(AND(M17="01",N17&gt;=L_Conversion!$C$118,N17&lt;=L_Conversion!$D$118),"-",
IF(AND(M17="02",N17&gt;=L_Conversion!$C$119,N17&lt;=L_Conversion!$D$119),"-",
IF(AND(M17="03",N17&gt;=L_Conversion!$C$120,N17&lt;=L_Conversion!$D$120),"-",
IF(AND(M17="04",N17&gt;=L_Conversion!$C$121,N17&lt;=L_Conversion!$D$121),"-",
IF(AND(M17="05",N17&gt;=L_Conversion!$C$122,N17&lt;=L_Conversion!$D$122),"-",
IF(AND(M17="06",N17&gt;=L_Conversion!$C$123,N17&lt;=L_Conversion!$D$123),"-",
IF(AND(M17="07",N17&gt;=L_Conversion!$C$124,N17&lt;=L_Conversion!$D$124),"-",
IF(AND(M17="08",N17&gt;=L_Conversion!$C$125,N17&lt;=L_Conversion!$D$125),"-",
IF(AND(M17="09",N17&gt;=L_Conversion!$C$126,N17&lt;=L_Conversion!$D$126),"-",
IF(AND(M17="10",N17&gt;=L_Conversion!$C$127,N17&lt;=L_Conversion!$D$127),"-",
IF(AND(M17="11",N17&gt;=L_Conversion!$C$128,N17&lt;=L_Conversion!$D$128),"-",
IF(AND(M17="12",N17&gt;=L_Conversion!$C$129,N17&lt;=L_Conversion!$D$129),"-",
IF(AND(M17="13",N17&gt;=L_Conversion!$C$116,N17&lt;=L_Conversion!$D$116),"-",
IF(AND(M17="14",N17&gt;=L_Conversion!$C$117,N17&lt;=L_Conversion!$D$117),"-",
"PRIMER_DIA fuera de rango")))))))))))))))</f>
        <v>-</v>
      </c>
      <c r="AS17" s="94" t="str">
        <f t="shared" si="23"/>
        <v>-</v>
      </c>
      <c r="AT17" s="94" t="str">
        <f t="shared" si="24"/>
        <v>-</v>
      </c>
      <c r="AU17" s="94" t="str">
        <f t="shared" si="25"/>
        <v>-</v>
      </c>
      <c r="AV17" s="94" t="str">
        <f t="shared" si="26"/>
        <v>-</v>
      </c>
      <c r="AW17" s="94" t="str">
        <f t="shared" si="27"/>
        <v>-</v>
      </c>
      <c r="AX17" s="94" t="str">
        <f t="shared" si="28"/>
        <v>-</v>
      </c>
      <c r="AY17" s="94" t="str">
        <f t="shared" si="29"/>
        <v>-</v>
      </c>
      <c r="AZ17" s="94" t="str">
        <f t="shared" si="30"/>
        <v>-</v>
      </c>
      <c r="BA17" s="94" t="str">
        <f t="shared" si="31"/>
        <v>-</v>
      </c>
      <c r="BB17" s="94" t="str">
        <f t="shared" si="32"/>
        <v>-</v>
      </c>
      <c r="BC17" s="94" t="str">
        <f t="shared" si="33"/>
        <v>-</v>
      </c>
      <c r="BD17" s="94" t="str">
        <f t="shared" si="34"/>
        <v>-</v>
      </c>
      <c r="BE17" s="94" t="str">
        <f t="shared" si="35"/>
        <v>-</v>
      </c>
      <c r="BF17" s="94" t="str">
        <f t="shared" si="36"/>
        <v>-</v>
      </c>
      <c r="BG17" s="186" t="str">
        <f>IF(OR(AQ17="13",AQ17="14",AT17=8),"",IF(     AND(OR(AW17="AUTORIZADO", AW17="PENDIENTE", AW17="REDUCIDO", AW17="AMPLIADO"),AP17&lt;&gt;"HONORARIO" ), _xlfn.CONCAT(IF(AL17="X","H",AL17),"_",IF(OR(AT17=5,AT17=6),_xlfn.CONCAT(AT17,"A"),AT17),"_",VLOOKUP(AX17,Datos!$B$2:$C$5,2,TRUE)),""))</f>
        <v/>
      </c>
    </row>
    <row r="18" spans="1:59" x14ac:dyDescent="0.2">
      <c r="A18" s="19" t="s">
        <v>1193</v>
      </c>
      <c r="B18" s="19" t="s">
        <v>81</v>
      </c>
      <c r="C18" s="19">
        <v>15246163</v>
      </c>
      <c r="D18" s="19">
        <v>1</v>
      </c>
      <c r="E18" s="19" t="s">
        <v>1195</v>
      </c>
      <c r="F18" s="19" t="s">
        <v>1203</v>
      </c>
      <c r="G18" s="19" t="s">
        <v>1204</v>
      </c>
      <c r="H18" s="19" t="s">
        <v>654</v>
      </c>
      <c r="I18" s="19" t="s">
        <v>653</v>
      </c>
      <c r="J18" s="19">
        <v>80</v>
      </c>
      <c r="K18" s="19" t="s">
        <v>556</v>
      </c>
      <c r="L18" s="19" t="s">
        <v>495</v>
      </c>
      <c r="M18" s="19" t="s">
        <v>21</v>
      </c>
      <c r="N18" s="19">
        <v>45703</v>
      </c>
      <c r="O18" s="19">
        <v>30</v>
      </c>
      <c r="P18" s="83">
        <v>1</v>
      </c>
      <c r="Q18" s="19" t="s">
        <v>23</v>
      </c>
      <c r="R18" s="19" t="s">
        <v>11</v>
      </c>
      <c r="S18" s="19" t="s">
        <v>23</v>
      </c>
      <c r="T18" s="19">
        <v>30</v>
      </c>
      <c r="U18" s="19" t="s">
        <v>11</v>
      </c>
      <c r="V18" s="19" t="s">
        <v>11</v>
      </c>
      <c r="W18" s="19" t="s">
        <v>11</v>
      </c>
      <c r="X18" s="19">
        <v>0</v>
      </c>
      <c r="Y18" s="19" t="s">
        <v>730</v>
      </c>
      <c r="Z18" s="19">
        <v>0</v>
      </c>
      <c r="AA18" s="19">
        <v>0</v>
      </c>
      <c r="AB18" s="19">
        <v>0</v>
      </c>
      <c r="AC18" s="186" t="str">
        <f>IF(OR(M18="13",M18="14",P18=8),"",IF(     AND(OR(S18="AUTORIZADO", S18="PENDIENTE", S18="REDUCIDO", S18="AMPLIADO"),L18&lt;&gt;"HONORARIO" ), _xlfn.CONCAT(IF(H18="X","H",H18),"_",IF(OR(P18=5,P18=6),_xlfn.CONCAT(P18,"A"),P18),"_",VLOOKUP(T18,Datos!$B$2:$C$5,2,TRUE)),""))</f>
        <v>H_1_[11 +]</v>
      </c>
      <c r="AD18" s="186">
        <f t="shared" si="10"/>
        <v>0</v>
      </c>
      <c r="AE18" s="90" t="str">
        <f t="shared" si="11"/>
        <v>-</v>
      </c>
      <c r="AF18" s="91" t="str">
        <f t="shared" si="12"/>
        <v>071901</v>
      </c>
      <c r="AG18" s="92"/>
      <c r="AH18" s="93" t="str">
        <f t="shared" si="13"/>
        <v>Comité Innova Chile</v>
      </c>
      <c r="AI18" s="90" t="str">
        <f t="shared" si="14"/>
        <v>-</v>
      </c>
      <c r="AJ18" s="90">
        <f t="shared" si="15"/>
        <v>1</v>
      </c>
      <c r="AK18" s="90" t="str">
        <f t="shared" si="16"/>
        <v>-</v>
      </c>
      <c r="AL18" s="90" t="str">
        <f t="shared" si="17"/>
        <v>Identifica este registro como HOMBRE</v>
      </c>
      <c r="AM18" s="90" t="str">
        <f t="shared" si="18"/>
        <v>-</v>
      </c>
      <c r="AN18" s="90" t="str">
        <f t="shared" si="19"/>
        <v>-</v>
      </c>
      <c r="AO18" s="90" t="str">
        <f t="shared" si="20"/>
        <v>-</v>
      </c>
      <c r="AP18" s="58" t="str">
        <f t="shared" si="21"/>
        <v>-</v>
      </c>
      <c r="AQ18" s="94" t="str">
        <f t="shared" si="22"/>
        <v>-</v>
      </c>
      <c r="AR18" s="94" t="str">
        <f>IF(N18="","PRIMER_DIA en blanco",
IF(AND(M18="01",N18&gt;=L_Conversion!$C$118,N18&lt;=L_Conversion!$D$118),"-",
IF(AND(M18="02",N18&gt;=L_Conversion!$C$119,N18&lt;=L_Conversion!$D$119),"-",
IF(AND(M18="03",N18&gt;=L_Conversion!$C$120,N18&lt;=L_Conversion!$D$120),"-",
IF(AND(M18="04",N18&gt;=L_Conversion!$C$121,N18&lt;=L_Conversion!$D$121),"-",
IF(AND(M18="05",N18&gt;=L_Conversion!$C$122,N18&lt;=L_Conversion!$D$122),"-",
IF(AND(M18="06",N18&gt;=L_Conversion!$C$123,N18&lt;=L_Conversion!$D$123),"-",
IF(AND(M18="07",N18&gt;=L_Conversion!$C$124,N18&lt;=L_Conversion!$D$124),"-",
IF(AND(M18="08",N18&gt;=L_Conversion!$C$125,N18&lt;=L_Conversion!$D$125),"-",
IF(AND(M18="09",N18&gt;=L_Conversion!$C$126,N18&lt;=L_Conversion!$D$126),"-",
IF(AND(M18="10",N18&gt;=L_Conversion!$C$127,N18&lt;=L_Conversion!$D$127),"-",
IF(AND(M18="11",N18&gt;=L_Conversion!$C$128,N18&lt;=L_Conversion!$D$128),"-",
IF(AND(M18="12",N18&gt;=L_Conversion!$C$129,N18&lt;=L_Conversion!$D$129),"-",
IF(AND(M18="13",N18&gt;=L_Conversion!$C$116,N18&lt;=L_Conversion!$D$116),"-",
IF(AND(M18="14",N18&gt;=L_Conversion!$C$117,N18&lt;=L_Conversion!$D$117),"-",
"PRIMER_DIA fuera de rango")))))))))))))))</f>
        <v>-</v>
      </c>
      <c r="AS18" s="94" t="str">
        <f t="shared" si="23"/>
        <v>-</v>
      </c>
      <c r="AT18" s="94" t="str">
        <f t="shared" si="24"/>
        <v>-</v>
      </c>
      <c r="AU18" s="94" t="str">
        <f t="shared" si="25"/>
        <v>-</v>
      </c>
      <c r="AV18" s="94" t="str">
        <f t="shared" si="26"/>
        <v>-</v>
      </c>
      <c r="AW18" s="94" t="str">
        <f t="shared" si="27"/>
        <v>-</v>
      </c>
      <c r="AX18" s="94" t="str">
        <f t="shared" si="28"/>
        <v>-</v>
      </c>
      <c r="AY18" s="94" t="str">
        <f t="shared" si="29"/>
        <v>-</v>
      </c>
      <c r="AZ18" s="94" t="str">
        <f t="shared" si="30"/>
        <v>-</v>
      </c>
      <c r="BA18" s="94" t="str">
        <f t="shared" si="31"/>
        <v>-</v>
      </c>
      <c r="BB18" s="94" t="str">
        <f t="shared" si="32"/>
        <v>-</v>
      </c>
      <c r="BC18" s="94" t="str">
        <f t="shared" si="33"/>
        <v>-</v>
      </c>
      <c r="BD18" s="94" t="str">
        <f t="shared" si="34"/>
        <v>-</v>
      </c>
      <c r="BE18" s="94" t="str">
        <f t="shared" si="35"/>
        <v>-</v>
      </c>
      <c r="BF18" s="94" t="str">
        <f t="shared" si="36"/>
        <v>-</v>
      </c>
      <c r="BG18" s="186" t="str">
        <f>IF(OR(AQ18="13",AQ18="14",AT18=8),"",IF(     AND(OR(AW18="AUTORIZADO", AW18="PENDIENTE", AW18="REDUCIDO", AW18="AMPLIADO"),AP18&lt;&gt;"HONORARIO" ), _xlfn.CONCAT(IF(AL18="X","H",AL18),"_",IF(OR(AT18=5,AT18=6),_xlfn.CONCAT(AT18,"A"),AT18),"_",VLOOKUP(AX18,Datos!$B$2:$C$5,2,TRUE)),""))</f>
        <v/>
      </c>
    </row>
    <row r="19" spans="1:59" x14ac:dyDescent="0.2">
      <c r="A19" s="19" t="s">
        <v>1193</v>
      </c>
      <c r="B19" s="19" t="s">
        <v>81</v>
      </c>
      <c r="C19" s="19">
        <v>17266500</v>
      </c>
      <c r="D19" s="19">
        <v>4</v>
      </c>
      <c r="E19" s="19" t="s">
        <v>1223</v>
      </c>
      <c r="F19" s="19" t="s">
        <v>1229</v>
      </c>
      <c r="G19" s="19" t="s">
        <v>1230</v>
      </c>
      <c r="H19" s="19" t="s">
        <v>1018</v>
      </c>
      <c r="I19" s="19" t="s">
        <v>655</v>
      </c>
      <c r="J19" s="19">
        <v>80</v>
      </c>
      <c r="K19" s="19" t="s">
        <v>556</v>
      </c>
      <c r="L19" s="19" t="s">
        <v>495</v>
      </c>
      <c r="M19" s="19" t="s">
        <v>21</v>
      </c>
      <c r="N19" s="19">
        <v>45705</v>
      </c>
      <c r="O19" s="19">
        <v>2</v>
      </c>
      <c r="P19" s="83">
        <v>1</v>
      </c>
      <c r="Q19" s="19" t="s">
        <v>23</v>
      </c>
      <c r="R19" s="19" t="s">
        <v>11</v>
      </c>
      <c r="S19" s="19" t="s">
        <v>23</v>
      </c>
      <c r="T19" s="19">
        <v>2</v>
      </c>
      <c r="U19" s="19" t="s">
        <v>11</v>
      </c>
      <c r="V19" s="19" t="s">
        <v>11</v>
      </c>
      <c r="W19" s="19" t="s">
        <v>11</v>
      </c>
      <c r="X19" s="19">
        <v>0</v>
      </c>
      <c r="Y19" s="19" t="s">
        <v>730</v>
      </c>
      <c r="Z19" s="19">
        <v>0</v>
      </c>
      <c r="AA19" s="19">
        <v>0</v>
      </c>
      <c r="AB19" s="19">
        <v>0</v>
      </c>
      <c r="AC19" s="186" t="str">
        <f>IF(OR(M19="13",M19="14",P19=8),"",IF(     AND(OR(S19="AUTORIZADO", S19="PENDIENTE", S19="REDUCIDO", S19="AMPLIADO"),L19&lt;&gt;"HONORARIO" ), _xlfn.CONCAT(IF(H19="X","H",H19),"_",IF(OR(P19=5,P19=6),_xlfn.CONCAT(P19,"A"),P19),"_",VLOOKUP(T19,Datos!$B$2:$C$5,2,TRUE)),""))</f>
        <v>M_1_[hasta 3]</v>
      </c>
      <c r="AD19" s="186">
        <f t="shared" si="10"/>
        <v>0</v>
      </c>
      <c r="AE19" s="90" t="str">
        <f t="shared" si="11"/>
        <v>-</v>
      </c>
      <c r="AF19" s="91" t="str">
        <f t="shared" si="12"/>
        <v>071901</v>
      </c>
      <c r="AG19" s="92"/>
      <c r="AH19" s="93" t="str">
        <f t="shared" si="13"/>
        <v>Comité Innova Chile</v>
      </c>
      <c r="AI19" s="90" t="str">
        <f t="shared" si="14"/>
        <v>-</v>
      </c>
      <c r="AJ19" s="90">
        <f t="shared" si="15"/>
        <v>4</v>
      </c>
      <c r="AK19" s="90" t="str">
        <f t="shared" si="16"/>
        <v>-</v>
      </c>
      <c r="AL19" s="90" t="str">
        <f t="shared" si="17"/>
        <v>Identifica este registro como MUJER</v>
      </c>
      <c r="AM19" s="90" t="str">
        <f t="shared" si="18"/>
        <v>-</v>
      </c>
      <c r="AN19" s="90" t="str">
        <f t="shared" si="19"/>
        <v>-</v>
      </c>
      <c r="AO19" s="90" t="str">
        <f t="shared" si="20"/>
        <v>-</v>
      </c>
      <c r="AP19" s="58" t="str">
        <f t="shared" si="21"/>
        <v>-</v>
      </c>
      <c r="AQ19" s="94" t="str">
        <f t="shared" si="22"/>
        <v>-</v>
      </c>
      <c r="AR19" s="94" t="str">
        <f>IF(N19="","PRIMER_DIA en blanco",
IF(AND(M19="01",N19&gt;=L_Conversion!$C$118,N19&lt;=L_Conversion!$D$118),"-",
IF(AND(M19="02",N19&gt;=L_Conversion!$C$119,N19&lt;=L_Conversion!$D$119),"-",
IF(AND(M19="03",N19&gt;=L_Conversion!$C$120,N19&lt;=L_Conversion!$D$120),"-",
IF(AND(M19="04",N19&gt;=L_Conversion!$C$121,N19&lt;=L_Conversion!$D$121),"-",
IF(AND(M19="05",N19&gt;=L_Conversion!$C$122,N19&lt;=L_Conversion!$D$122),"-",
IF(AND(M19="06",N19&gt;=L_Conversion!$C$123,N19&lt;=L_Conversion!$D$123),"-",
IF(AND(M19="07",N19&gt;=L_Conversion!$C$124,N19&lt;=L_Conversion!$D$124),"-",
IF(AND(M19="08",N19&gt;=L_Conversion!$C$125,N19&lt;=L_Conversion!$D$125),"-",
IF(AND(M19="09",N19&gt;=L_Conversion!$C$126,N19&lt;=L_Conversion!$D$126),"-",
IF(AND(M19="10",N19&gt;=L_Conversion!$C$127,N19&lt;=L_Conversion!$D$127),"-",
IF(AND(M19="11",N19&gt;=L_Conversion!$C$128,N19&lt;=L_Conversion!$D$128),"-",
IF(AND(M19="12",N19&gt;=L_Conversion!$C$129,N19&lt;=L_Conversion!$D$129),"-",
IF(AND(M19="13",N19&gt;=L_Conversion!$C$116,N19&lt;=L_Conversion!$D$116),"-",
IF(AND(M19="14",N19&gt;=L_Conversion!$C$117,N19&lt;=L_Conversion!$D$117),"-",
"PRIMER_DIA fuera de rango")))))))))))))))</f>
        <v>-</v>
      </c>
      <c r="AS19" s="94" t="str">
        <f t="shared" si="23"/>
        <v>-</v>
      </c>
      <c r="AT19" s="94" t="str">
        <f t="shared" si="24"/>
        <v>-</v>
      </c>
      <c r="AU19" s="94" t="str">
        <f t="shared" si="25"/>
        <v>-</v>
      </c>
      <c r="AV19" s="94" t="str">
        <f t="shared" si="26"/>
        <v>-</v>
      </c>
      <c r="AW19" s="94" t="str">
        <f t="shared" si="27"/>
        <v>-</v>
      </c>
      <c r="AX19" s="94" t="str">
        <f t="shared" si="28"/>
        <v>-</v>
      </c>
      <c r="AY19" s="94" t="str">
        <f t="shared" si="29"/>
        <v>-</v>
      </c>
      <c r="AZ19" s="94" t="str">
        <f t="shared" si="30"/>
        <v>-</v>
      </c>
      <c r="BA19" s="94" t="str">
        <f t="shared" si="31"/>
        <v>-</v>
      </c>
      <c r="BB19" s="94" t="str">
        <f t="shared" si="32"/>
        <v>-</v>
      </c>
      <c r="BC19" s="94" t="str">
        <f t="shared" si="33"/>
        <v>-</v>
      </c>
      <c r="BD19" s="94" t="str">
        <f t="shared" si="34"/>
        <v>-</v>
      </c>
      <c r="BE19" s="94" t="str">
        <f t="shared" si="35"/>
        <v>-</v>
      </c>
      <c r="BF19" s="94" t="str">
        <f t="shared" si="36"/>
        <v>-</v>
      </c>
      <c r="BG19" s="186" t="str">
        <f>IF(OR(AQ19="13",AQ19="14",AT19=8),"",IF(     AND(OR(AW19="AUTORIZADO", AW19="PENDIENTE", AW19="REDUCIDO", AW19="AMPLIADO"),AP19&lt;&gt;"HONORARIO" ), _xlfn.CONCAT(IF(AL19="X","H",AL19),"_",IF(OR(AT19=5,AT19=6),_xlfn.CONCAT(AT19,"A"),AT19),"_",VLOOKUP(AX19,Datos!$B$2:$C$5,2,TRUE)),""))</f>
        <v/>
      </c>
    </row>
    <row r="20" spans="1:59" x14ac:dyDescent="0.2">
      <c r="A20" s="19" t="s">
        <v>1193</v>
      </c>
      <c r="B20" s="19" t="s">
        <v>81</v>
      </c>
      <c r="C20" s="19">
        <v>17379482</v>
      </c>
      <c r="D20" s="19">
        <v>7</v>
      </c>
      <c r="E20" s="19" t="s">
        <v>1231</v>
      </c>
      <c r="F20" s="19" t="s">
        <v>1232</v>
      </c>
      <c r="G20" s="19" t="s">
        <v>1233</v>
      </c>
      <c r="H20" s="19" t="s">
        <v>654</v>
      </c>
      <c r="I20" s="19" t="s">
        <v>653</v>
      </c>
      <c r="J20" s="19">
        <v>80</v>
      </c>
      <c r="K20" s="19" t="s">
        <v>556</v>
      </c>
      <c r="L20" s="19" t="s">
        <v>495</v>
      </c>
      <c r="M20" s="19" t="s">
        <v>21</v>
      </c>
      <c r="N20" s="19">
        <v>45705</v>
      </c>
      <c r="O20" s="19">
        <v>2</v>
      </c>
      <c r="P20" s="83">
        <v>1</v>
      </c>
      <c r="Q20" s="19" t="s">
        <v>23</v>
      </c>
      <c r="R20" s="19" t="s">
        <v>11</v>
      </c>
      <c r="S20" s="19" t="s">
        <v>23</v>
      </c>
      <c r="T20" s="19">
        <v>2</v>
      </c>
      <c r="U20" s="19" t="s">
        <v>11</v>
      </c>
      <c r="V20" s="19" t="s">
        <v>11</v>
      </c>
      <c r="W20" s="19" t="s">
        <v>11</v>
      </c>
      <c r="X20" s="19">
        <v>0</v>
      </c>
      <c r="Y20" s="19" t="s">
        <v>730</v>
      </c>
      <c r="Z20" s="19">
        <v>0</v>
      </c>
      <c r="AA20" s="19">
        <v>0</v>
      </c>
      <c r="AB20" s="19">
        <v>0</v>
      </c>
      <c r="AC20" s="186" t="str">
        <f>IF(OR(M20="13",M20="14",P20=8),"",IF(     AND(OR(S20="AUTORIZADO", S20="PENDIENTE", S20="REDUCIDO", S20="AMPLIADO"),L20&lt;&gt;"HONORARIO" ), _xlfn.CONCAT(IF(H20="X","H",H20),"_",IF(OR(P20=5,P20=6),_xlfn.CONCAT(P20,"A"),P20),"_",VLOOKUP(T20,Datos!$B$2:$C$5,2,TRUE)),""))</f>
        <v>H_1_[hasta 3]</v>
      </c>
      <c r="AD20" s="186">
        <f t="shared" si="10"/>
        <v>0</v>
      </c>
      <c r="AE20" s="90" t="str">
        <f t="shared" si="11"/>
        <v>-</v>
      </c>
      <c r="AF20" s="91" t="str">
        <f t="shared" si="12"/>
        <v>071901</v>
      </c>
      <c r="AG20" s="92"/>
      <c r="AH20" s="93" t="str">
        <f t="shared" si="13"/>
        <v>Comité Innova Chile</v>
      </c>
      <c r="AI20" s="90" t="str">
        <f t="shared" si="14"/>
        <v>-</v>
      </c>
      <c r="AJ20" s="90">
        <f t="shared" si="15"/>
        <v>7</v>
      </c>
      <c r="AK20" s="90" t="str">
        <f t="shared" si="16"/>
        <v>-</v>
      </c>
      <c r="AL20" s="90" t="str">
        <f t="shared" si="17"/>
        <v>Identifica este registro como HOMBRE</v>
      </c>
      <c r="AM20" s="90" t="str">
        <f t="shared" si="18"/>
        <v>-</v>
      </c>
      <c r="AN20" s="90" t="str">
        <f t="shared" si="19"/>
        <v>-</v>
      </c>
      <c r="AO20" s="90" t="str">
        <f t="shared" si="20"/>
        <v>-</v>
      </c>
      <c r="AP20" s="58" t="str">
        <f t="shared" si="21"/>
        <v>-</v>
      </c>
      <c r="AQ20" s="94" t="str">
        <f t="shared" si="22"/>
        <v>-</v>
      </c>
      <c r="AR20" s="94" t="str">
        <f>IF(N20="","PRIMER_DIA en blanco",
IF(AND(M20="01",N20&gt;=L_Conversion!$C$118,N20&lt;=L_Conversion!$D$118),"-",
IF(AND(M20="02",N20&gt;=L_Conversion!$C$119,N20&lt;=L_Conversion!$D$119),"-",
IF(AND(M20="03",N20&gt;=L_Conversion!$C$120,N20&lt;=L_Conversion!$D$120),"-",
IF(AND(M20="04",N20&gt;=L_Conversion!$C$121,N20&lt;=L_Conversion!$D$121),"-",
IF(AND(M20="05",N20&gt;=L_Conversion!$C$122,N20&lt;=L_Conversion!$D$122),"-",
IF(AND(M20="06",N20&gt;=L_Conversion!$C$123,N20&lt;=L_Conversion!$D$123),"-",
IF(AND(M20="07",N20&gt;=L_Conversion!$C$124,N20&lt;=L_Conversion!$D$124),"-",
IF(AND(M20="08",N20&gt;=L_Conversion!$C$125,N20&lt;=L_Conversion!$D$125),"-",
IF(AND(M20="09",N20&gt;=L_Conversion!$C$126,N20&lt;=L_Conversion!$D$126),"-",
IF(AND(M20="10",N20&gt;=L_Conversion!$C$127,N20&lt;=L_Conversion!$D$127),"-",
IF(AND(M20="11",N20&gt;=L_Conversion!$C$128,N20&lt;=L_Conversion!$D$128),"-",
IF(AND(M20="12",N20&gt;=L_Conversion!$C$129,N20&lt;=L_Conversion!$D$129),"-",
IF(AND(M20="13",N20&gt;=L_Conversion!$C$116,N20&lt;=L_Conversion!$D$116),"-",
IF(AND(M20="14",N20&gt;=L_Conversion!$C$117,N20&lt;=L_Conversion!$D$117),"-",
"PRIMER_DIA fuera de rango")))))))))))))))</f>
        <v>-</v>
      </c>
      <c r="AS20" s="94" t="str">
        <f t="shared" si="23"/>
        <v>-</v>
      </c>
      <c r="AT20" s="94" t="str">
        <f t="shared" si="24"/>
        <v>-</v>
      </c>
      <c r="AU20" s="94" t="str">
        <f t="shared" si="25"/>
        <v>-</v>
      </c>
      <c r="AV20" s="94" t="str">
        <f t="shared" si="26"/>
        <v>-</v>
      </c>
      <c r="AW20" s="94" t="str">
        <f t="shared" si="27"/>
        <v>-</v>
      </c>
      <c r="AX20" s="94" t="str">
        <f t="shared" si="28"/>
        <v>-</v>
      </c>
      <c r="AY20" s="94" t="str">
        <f t="shared" si="29"/>
        <v>-</v>
      </c>
      <c r="AZ20" s="94" t="str">
        <f t="shared" si="30"/>
        <v>-</v>
      </c>
      <c r="BA20" s="94" t="str">
        <f t="shared" si="31"/>
        <v>-</v>
      </c>
      <c r="BB20" s="94" t="str">
        <f t="shared" si="32"/>
        <v>-</v>
      </c>
      <c r="BC20" s="94" t="str">
        <f t="shared" si="33"/>
        <v>-</v>
      </c>
      <c r="BD20" s="94" t="str">
        <f t="shared" si="34"/>
        <v>-</v>
      </c>
      <c r="BE20" s="94" t="str">
        <f t="shared" si="35"/>
        <v>-</v>
      </c>
      <c r="BF20" s="94" t="str">
        <f t="shared" si="36"/>
        <v>-</v>
      </c>
      <c r="BG20" s="186" t="str">
        <f>IF(OR(AQ20="13",AQ20="14",AT20=8),"",IF(     AND(OR(AW20="AUTORIZADO", AW20="PENDIENTE", AW20="REDUCIDO", AW20="AMPLIADO"),AP20&lt;&gt;"HONORARIO" ), _xlfn.CONCAT(IF(AL20="X","H",AL20),"_",IF(OR(AT20=5,AT20=6),_xlfn.CONCAT(AT20,"A"),AT20),"_",VLOOKUP(AX20,Datos!$B$2:$C$5,2,TRUE)),""))</f>
        <v/>
      </c>
    </row>
    <row r="21" spans="1:59" x14ac:dyDescent="0.2">
      <c r="A21" s="19" t="s">
        <v>1193</v>
      </c>
      <c r="B21" s="19" t="s">
        <v>81</v>
      </c>
      <c r="C21" s="19">
        <v>10667993</v>
      </c>
      <c r="D21" s="19">
        <v>2</v>
      </c>
      <c r="E21" s="19" t="s">
        <v>1197</v>
      </c>
      <c r="F21" s="19" t="s">
        <v>1198</v>
      </c>
      <c r="G21" s="19" t="s">
        <v>1199</v>
      </c>
      <c r="H21" s="19" t="s">
        <v>1018</v>
      </c>
      <c r="I21" s="19" t="s">
        <v>653</v>
      </c>
      <c r="J21" s="19">
        <v>80</v>
      </c>
      <c r="K21" s="19" t="s">
        <v>560</v>
      </c>
      <c r="L21" s="19" t="s">
        <v>495</v>
      </c>
      <c r="M21" s="19" t="s">
        <v>21</v>
      </c>
      <c r="N21" s="19">
        <v>45707</v>
      </c>
      <c r="O21" s="19">
        <v>3</v>
      </c>
      <c r="P21" s="83">
        <v>1</v>
      </c>
      <c r="Q21" s="19" t="s">
        <v>23</v>
      </c>
      <c r="R21" s="19" t="s">
        <v>11</v>
      </c>
      <c r="S21" s="19" t="s">
        <v>23</v>
      </c>
      <c r="T21" s="19">
        <v>3</v>
      </c>
      <c r="U21" s="19" t="s">
        <v>11</v>
      </c>
      <c r="V21" s="19" t="s">
        <v>11</v>
      </c>
      <c r="W21" s="19" t="s">
        <v>11</v>
      </c>
      <c r="X21" s="19">
        <v>0</v>
      </c>
      <c r="Y21" s="19" t="s">
        <v>730</v>
      </c>
      <c r="Z21" s="19">
        <v>0</v>
      </c>
      <c r="AA21" s="19">
        <v>0</v>
      </c>
      <c r="AB21" s="19">
        <v>0</v>
      </c>
      <c r="AC21" s="186" t="str">
        <f>IF(OR(M21="13",M21="14",P21=8),"",IF(     AND(OR(S21="AUTORIZADO", S21="PENDIENTE", S21="REDUCIDO", S21="AMPLIADO"),L21&lt;&gt;"HONORARIO" ), _xlfn.CONCAT(IF(H21="X","H",H21),"_",IF(OR(P21=5,P21=6),_xlfn.CONCAT(P21,"A"),P21),"_",VLOOKUP(T21,Datos!$B$2:$C$5,2,TRUE)),""))</f>
        <v>M_1_[hasta 3]</v>
      </c>
      <c r="AD21" s="186">
        <f t="shared" si="10"/>
        <v>0</v>
      </c>
      <c r="AE21" s="90" t="str">
        <f t="shared" si="11"/>
        <v>-</v>
      </c>
      <c r="AF21" s="91" t="str">
        <f t="shared" si="12"/>
        <v>071901</v>
      </c>
      <c r="AG21" s="92"/>
      <c r="AH21" s="93" t="str">
        <f t="shared" si="13"/>
        <v>Comité Innova Chile</v>
      </c>
      <c r="AI21" s="90" t="str">
        <f t="shared" si="14"/>
        <v>-</v>
      </c>
      <c r="AJ21" s="90">
        <f t="shared" si="15"/>
        <v>2</v>
      </c>
      <c r="AK21" s="90" t="str">
        <f t="shared" si="16"/>
        <v>-</v>
      </c>
      <c r="AL21" s="90" t="str">
        <f t="shared" si="17"/>
        <v>Identifica este registro como MUJER</v>
      </c>
      <c r="AM21" s="90" t="str">
        <f t="shared" si="18"/>
        <v>-</v>
      </c>
      <c r="AN21" s="90" t="str">
        <f t="shared" si="19"/>
        <v>-</v>
      </c>
      <c r="AO21" s="90" t="str">
        <f t="shared" si="20"/>
        <v>-</v>
      </c>
      <c r="AP21" s="58" t="str">
        <f t="shared" si="21"/>
        <v>-</v>
      </c>
      <c r="AQ21" s="94" t="str">
        <f t="shared" si="22"/>
        <v>-</v>
      </c>
      <c r="AR21" s="94" t="str">
        <f>IF(N21="","PRIMER_DIA en blanco",
IF(AND(M21="01",N21&gt;=L_Conversion!$C$118,N21&lt;=L_Conversion!$D$118),"-",
IF(AND(M21="02",N21&gt;=L_Conversion!$C$119,N21&lt;=L_Conversion!$D$119),"-",
IF(AND(M21="03",N21&gt;=L_Conversion!$C$120,N21&lt;=L_Conversion!$D$120),"-",
IF(AND(M21="04",N21&gt;=L_Conversion!$C$121,N21&lt;=L_Conversion!$D$121),"-",
IF(AND(M21="05",N21&gt;=L_Conversion!$C$122,N21&lt;=L_Conversion!$D$122),"-",
IF(AND(M21="06",N21&gt;=L_Conversion!$C$123,N21&lt;=L_Conversion!$D$123),"-",
IF(AND(M21="07",N21&gt;=L_Conversion!$C$124,N21&lt;=L_Conversion!$D$124),"-",
IF(AND(M21="08",N21&gt;=L_Conversion!$C$125,N21&lt;=L_Conversion!$D$125),"-",
IF(AND(M21="09",N21&gt;=L_Conversion!$C$126,N21&lt;=L_Conversion!$D$126),"-",
IF(AND(M21="10",N21&gt;=L_Conversion!$C$127,N21&lt;=L_Conversion!$D$127),"-",
IF(AND(M21="11",N21&gt;=L_Conversion!$C$128,N21&lt;=L_Conversion!$D$128),"-",
IF(AND(M21="12",N21&gt;=L_Conversion!$C$129,N21&lt;=L_Conversion!$D$129),"-",
IF(AND(M21="13",N21&gt;=L_Conversion!$C$116,N21&lt;=L_Conversion!$D$116),"-",
IF(AND(M21="14",N21&gt;=L_Conversion!$C$117,N21&lt;=L_Conversion!$D$117),"-",
"PRIMER_DIA fuera de rango")))))))))))))))</f>
        <v>-</v>
      </c>
      <c r="AS21" s="94" t="str">
        <f t="shared" si="23"/>
        <v>-</v>
      </c>
      <c r="AT21" s="94" t="str">
        <f t="shared" si="24"/>
        <v>-</v>
      </c>
      <c r="AU21" s="94" t="str">
        <f t="shared" si="25"/>
        <v>-</v>
      </c>
      <c r="AV21" s="94" t="str">
        <f t="shared" si="26"/>
        <v>-</v>
      </c>
      <c r="AW21" s="94" t="str">
        <f t="shared" si="27"/>
        <v>-</v>
      </c>
      <c r="AX21" s="94" t="str">
        <f t="shared" si="28"/>
        <v>-</v>
      </c>
      <c r="AY21" s="94" t="str">
        <f t="shared" si="29"/>
        <v>-</v>
      </c>
      <c r="AZ21" s="94" t="str">
        <f t="shared" si="30"/>
        <v>-</v>
      </c>
      <c r="BA21" s="94" t="str">
        <f t="shared" si="31"/>
        <v>-</v>
      </c>
      <c r="BB21" s="94" t="str">
        <f t="shared" si="32"/>
        <v>-</v>
      </c>
      <c r="BC21" s="94" t="str">
        <f t="shared" si="33"/>
        <v>-</v>
      </c>
      <c r="BD21" s="94" t="str">
        <f t="shared" si="34"/>
        <v>-</v>
      </c>
      <c r="BE21" s="94" t="str">
        <f t="shared" si="35"/>
        <v>-</v>
      </c>
      <c r="BF21" s="94" t="str">
        <f t="shared" si="36"/>
        <v>-</v>
      </c>
      <c r="BG21" s="186" t="str">
        <f>IF(OR(AQ21="13",AQ21="14",AT21=8),"",IF(     AND(OR(AW21="AUTORIZADO", AW21="PENDIENTE", AW21="REDUCIDO", AW21="AMPLIADO"),AP21&lt;&gt;"HONORARIO" ), _xlfn.CONCAT(IF(AL21="X","H",AL21),"_",IF(OR(AT21=5,AT21=6),_xlfn.CONCAT(AT21,"A"),AT21),"_",VLOOKUP(AX21,Datos!$B$2:$C$5,2,TRUE)),""))</f>
        <v/>
      </c>
    </row>
    <row r="22" spans="1:59" x14ac:dyDescent="0.2">
      <c r="A22" s="19" t="s">
        <v>1193</v>
      </c>
      <c r="B22" s="19" t="s">
        <v>81</v>
      </c>
      <c r="C22" s="19">
        <v>17413900</v>
      </c>
      <c r="D22" s="19">
        <v>8</v>
      </c>
      <c r="E22" s="19" t="s">
        <v>1220</v>
      </c>
      <c r="F22" s="19" t="s">
        <v>1221</v>
      </c>
      <c r="G22" s="19" t="s">
        <v>1222</v>
      </c>
      <c r="H22" s="19" t="s">
        <v>1018</v>
      </c>
      <c r="I22" s="19" t="s">
        <v>655</v>
      </c>
      <c r="J22" s="19">
        <v>80</v>
      </c>
      <c r="K22" s="19" t="s">
        <v>556</v>
      </c>
      <c r="L22" s="19" t="s">
        <v>495</v>
      </c>
      <c r="M22" s="19" t="s">
        <v>16</v>
      </c>
      <c r="N22" s="19">
        <v>45719</v>
      </c>
      <c r="O22" s="19">
        <v>12</v>
      </c>
      <c r="P22" s="83">
        <v>1</v>
      </c>
      <c r="Q22" s="19" t="s">
        <v>23</v>
      </c>
      <c r="R22" s="19" t="s">
        <v>11</v>
      </c>
      <c r="S22" s="19" t="s">
        <v>23</v>
      </c>
      <c r="T22" s="19">
        <v>12</v>
      </c>
      <c r="U22" s="19" t="s">
        <v>11</v>
      </c>
      <c r="V22" s="19" t="s">
        <v>11</v>
      </c>
      <c r="W22" s="19" t="s">
        <v>11</v>
      </c>
      <c r="X22" s="19">
        <v>0</v>
      </c>
      <c r="Y22" s="19" t="s">
        <v>730</v>
      </c>
      <c r="Z22" s="19">
        <v>0</v>
      </c>
      <c r="AA22" s="19">
        <v>0</v>
      </c>
      <c r="AB22" s="19">
        <v>0</v>
      </c>
      <c r="AC22" s="186" t="str">
        <f>IF(OR(M22="13",M22="14",P22=8),"",IF(     AND(OR(S22="AUTORIZADO", S22="PENDIENTE", S22="REDUCIDO", S22="AMPLIADO"),L22&lt;&gt;"HONORARIO" ), _xlfn.CONCAT(IF(H22="X","H",H22),"_",IF(OR(P22=5,P22=6),_xlfn.CONCAT(P22,"A"),P22),"_",VLOOKUP(T22,Datos!$B$2:$C$5,2,TRUE)),""))</f>
        <v>M_1_[11 +]</v>
      </c>
      <c r="AD22" s="186">
        <f t="shared" si="10"/>
        <v>0</v>
      </c>
      <c r="AE22" s="90" t="str">
        <f t="shared" si="11"/>
        <v>-</v>
      </c>
      <c r="AF22" s="91" t="str">
        <f t="shared" si="12"/>
        <v>071901</v>
      </c>
      <c r="AG22" s="92"/>
      <c r="AH22" s="93" t="str">
        <f t="shared" si="13"/>
        <v>Comité Innova Chile</v>
      </c>
      <c r="AI22" s="90" t="str">
        <f t="shared" si="14"/>
        <v>-</v>
      </c>
      <c r="AJ22" s="90">
        <f t="shared" si="15"/>
        <v>8</v>
      </c>
      <c r="AK22" s="90" t="str">
        <f t="shared" si="16"/>
        <v>-</v>
      </c>
      <c r="AL22" s="90" t="str">
        <f t="shared" si="17"/>
        <v>Identifica este registro como MUJER</v>
      </c>
      <c r="AM22" s="90" t="str">
        <f t="shared" si="18"/>
        <v>-</v>
      </c>
      <c r="AN22" s="90" t="str">
        <f t="shared" si="19"/>
        <v>-</v>
      </c>
      <c r="AO22" s="90" t="str">
        <f t="shared" si="20"/>
        <v>-</v>
      </c>
      <c r="AP22" s="58" t="str">
        <f t="shared" si="21"/>
        <v>-</v>
      </c>
      <c r="AQ22" s="94" t="str">
        <f t="shared" si="22"/>
        <v>-</v>
      </c>
      <c r="AR22" s="94" t="str">
        <f>IF(N22="","PRIMER_DIA en blanco",
IF(AND(M22="01",N22&gt;=L_Conversion!$C$118,N22&lt;=L_Conversion!$D$118),"-",
IF(AND(M22="02",N22&gt;=L_Conversion!$C$119,N22&lt;=L_Conversion!$D$119),"-",
IF(AND(M22="03",N22&gt;=L_Conversion!$C$120,N22&lt;=L_Conversion!$D$120),"-",
IF(AND(M22="04",N22&gt;=L_Conversion!$C$121,N22&lt;=L_Conversion!$D$121),"-",
IF(AND(M22="05",N22&gt;=L_Conversion!$C$122,N22&lt;=L_Conversion!$D$122),"-",
IF(AND(M22="06",N22&gt;=L_Conversion!$C$123,N22&lt;=L_Conversion!$D$123),"-",
IF(AND(M22="07",N22&gt;=L_Conversion!$C$124,N22&lt;=L_Conversion!$D$124),"-",
IF(AND(M22="08",N22&gt;=L_Conversion!$C$125,N22&lt;=L_Conversion!$D$125),"-",
IF(AND(M22="09",N22&gt;=L_Conversion!$C$126,N22&lt;=L_Conversion!$D$126),"-",
IF(AND(M22="10",N22&gt;=L_Conversion!$C$127,N22&lt;=L_Conversion!$D$127),"-",
IF(AND(M22="11",N22&gt;=L_Conversion!$C$128,N22&lt;=L_Conversion!$D$128),"-",
IF(AND(M22="12",N22&gt;=L_Conversion!$C$129,N22&lt;=L_Conversion!$D$129),"-",
IF(AND(M22="13",N22&gt;=L_Conversion!$C$116,N22&lt;=L_Conversion!$D$116),"-",
IF(AND(M22="14",N22&gt;=L_Conversion!$C$117,N22&lt;=L_Conversion!$D$117),"-",
"PRIMER_DIA fuera de rango")))))))))))))))</f>
        <v>-</v>
      </c>
      <c r="AS22" s="94" t="str">
        <f t="shared" si="23"/>
        <v>-</v>
      </c>
      <c r="AT22" s="94" t="str">
        <f t="shared" si="24"/>
        <v>-</v>
      </c>
      <c r="AU22" s="94" t="str">
        <f t="shared" si="25"/>
        <v>-</v>
      </c>
      <c r="AV22" s="94" t="str">
        <f t="shared" si="26"/>
        <v>-</v>
      </c>
      <c r="AW22" s="94" t="str">
        <f t="shared" si="27"/>
        <v>-</v>
      </c>
      <c r="AX22" s="94" t="str">
        <f t="shared" si="28"/>
        <v>-</v>
      </c>
      <c r="AY22" s="94" t="str">
        <f t="shared" si="29"/>
        <v>-</v>
      </c>
      <c r="AZ22" s="94" t="str">
        <f t="shared" si="30"/>
        <v>-</v>
      </c>
      <c r="BA22" s="94" t="str">
        <f t="shared" si="31"/>
        <v>-</v>
      </c>
      <c r="BB22" s="94" t="str">
        <f t="shared" si="32"/>
        <v>-</v>
      </c>
      <c r="BC22" s="94" t="str">
        <f t="shared" si="33"/>
        <v>-</v>
      </c>
      <c r="BD22" s="94" t="str">
        <f t="shared" si="34"/>
        <v>-</v>
      </c>
      <c r="BE22" s="94" t="str">
        <f t="shared" si="35"/>
        <v>-</v>
      </c>
      <c r="BF22" s="94" t="str">
        <f t="shared" si="36"/>
        <v>-</v>
      </c>
      <c r="BG22" s="186" t="str">
        <f>IF(OR(AQ22="13",AQ22="14",AT22=8),"",IF(     AND(OR(AW22="AUTORIZADO", AW22="PENDIENTE", AW22="REDUCIDO", AW22="AMPLIADO"),AP22&lt;&gt;"HONORARIO" ), _xlfn.CONCAT(IF(AL22="X","H",AL22),"_",IF(OR(AT22=5,AT22=6),_xlfn.CONCAT(AT22,"A"),AT22),"_",VLOOKUP(AX22,Datos!$B$2:$C$5,2,TRUE)),""))</f>
        <v/>
      </c>
    </row>
    <row r="23" spans="1:59" x14ac:dyDescent="0.2">
      <c r="A23" s="19" t="s">
        <v>1193</v>
      </c>
      <c r="B23" s="19" t="s">
        <v>81</v>
      </c>
      <c r="C23" s="19">
        <v>17671936</v>
      </c>
      <c r="D23" s="19">
        <v>2</v>
      </c>
      <c r="E23" s="19" t="s">
        <v>1234</v>
      </c>
      <c r="F23" s="19" t="s">
        <v>1235</v>
      </c>
      <c r="G23" s="19" t="s">
        <v>1236</v>
      </c>
      <c r="H23" s="19" t="s">
        <v>1018</v>
      </c>
      <c r="I23" s="19" t="s">
        <v>655</v>
      </c>
      <c r="J23" s="19">
        <v>80</v>
      </c>
      <c r="K23" s="19" t="s">
        <v>556</v>
      </c>
      <c r="L23" s="19" t="s">
        <v>495</v>
      </c>
      <c r="M23" s="19" t="s">
        <v>16</v>
      </c>
      <c r="N23" s="19">
        <v>45719</v>
      </c>
      <c r="O23" s="19">
        <v>5</v>
      </c>
      <c r="P23" s="83">
        <v>1</v>
      </c>
      <c r="Q23" s="19" t="s">
        <v>23</v>
      </c>
      <c r="R23" s="19" t="s">
        <v>11</v>
      </c>
      <c r="S23" s="19" t="s">
        <v>23</v>
      </c>
      <c r="T23" s="19">
        <v>5</v>
      </c>
      <c r="U23" s="19" t="s">
        <v>11</v>
      </c>
      <c r="V23" s="19" t="s">
        <v>11</v>
      </c>
      <c r="W23" s="19" t="s">
        <v>11</v>
      </c>
      <c r="X23" s="19">
        <v>0</v>
      </c>
      <c r="Y23" s="19" t="s">
        <v>730</v>
      </c>
      <c r="Z23" s="19">
        <v>0</v>
      </c>
      <c r="AA23" s="19">
        <v>0</v>
      </c>
      <c r="AB23" s="19">
        <v>0</v>
      </c>
      <c r="AC23" s="186" t="str">
        <f>IF(OR(M23="13",M23="14",P23=8),"",IF(     AND(OR(S23="AUTORIZADO", S23="PENDIENTE", S23="REDUCIDO", S23="AMPLIADO"),L23&lt;&gt;"HONORARIO" ), _xlfn.CONCAT(IF(H23="X","H",H23),"_",IF(OR(P23=5,P23=6),_xlfn.CONCAT(P23,"A"),P23),"_",VLOOKUP(T23,Datos!$B$2:$C$5,2,TRUE)),""))</f>
        <v>M_1_[4 a 10]</v>
      </c>
      <c r="AD23" s="186">
        <f t="shared" si="10"/>
        <v>0</v>
      </c>
      <c r="AE23" s="90" t="str">
        <f t="shared" si="11"/>
        <v>-</v>
      </c>
      <c r="AF23" s="91" t="str">
        <f t="shared" si="12"/>
        <v>071901</v>
      </c>
      <c r="AG23" s="92"/>
      <c r="AH23" s="93" t="str">
        <f t="shared" si="13"/>
        <v>Comité Innova Chile</v>
      </c>
      <c r="AI23" s="90" t="str">
        <f t="shared" si="14"/>
        <v>-</v>
      </c>
      <c r="AJ23" s="90">
        <f t="shared" si="15"/>
        <v>2</v>
      </c>
      <c r="AK23" s="90" t="str">
        <f t="shared" si="16"/>
        <v>-</v>
      </c>
      <c r="AL23" s="90" t="str">
        <f t="shared" si="17"/>
        <v>Identifica este registro como MUJER</v>
      </c>
      <c r="AM23" s="90" t="str">
        <f t="shared" si="18"/>
        <v>-</v>
      </c>
      <c r="AN23" s="90" t="str">
        <f t="shared" si="19"/>
        <v>-</v>
      </c>
      <c r="AO23" s="90" t="str">
        <f t="shared" si="20"/>
        <v>-</v>
      </c>
      <c r="AP23" s="58" t="str">
        <f t="shared" si="21"/>
        <v>-</v>
      </c>
      <c r="AQ23" s="94" t="str">
        <f t="shared" si="22"/>
        <v>-</v>
      </c>
      <c r="AR23" s="94" t="str">
        <f>IF(N23="","PRIMER_DIA en blanco",
IF(AND(M23="01",N23&gt;=L_Conversion!$C$118,N23&lt;=L_Conversion!$D$118),"-",
IF(AND(M23="02",N23&gt;=L_Conversion!$C$119,N23&lt;=L_Conversion!$D$119),"-",
IF(AND(M23="03",N23&gt;=L_Conversion!$C$120,N23&lt;=L_Conversion!$D$120),"-",
IF(AND(M23="04",N23&gt;=L_Conversion!$C$121,N23&lt;=L_Conversion!$D$121),"-",
IF(AND(M23="05",N23&gt;=L_Conversion!$C$122,N23&lt;=L_Conversion!$D$122),"-",
IF(AND(M23="06",N23&gt;=L_Conversion!$C$123,N23&lt;=L_Conversion!$D$123),"-",
IF(AND(M23="07",N23&gt;=L_Conversion!$C$124,N23&lt;=L_Conversion!$D$124),"-",
IF(AND(M23="08",N23&gt;=L_Conversion!$C$125,N23&lt;=L_Conversion!$D$125),"-",
IF(AND(M23="09",N23&gt;=L_Conversion!$C$126,N23&lt;=L_Conversion!$D$126),"-",
IF(AND(M23="10",N23&gt;=L_Conversion!$C$127,N23&lt;=L_Conversion!$D$127),"-",
IF(AND(M23="11",N23&gt;=L_Conversion!$C$128,N23&lt;=L_Conversion!$D$128),"-",
IF(AND(M23="12",N23&gt;=L_Conversion!$C$129,N23&lt;=L_Conversion!$D$129),"-",
IF(AND(M23="13",N23&gt;=L_Conversion!$C$116,N23&lt;=L_Conversion!$D$116),"-",
IF(AND(M23="14",N23&gt;=L_Conversion!$C$117,N23&lt;=L_Conversion!$D$117),"-",
"PRIMER_DIA fuera de rango")))))))))))))))</f>
        <v>-</v>
      </c>
      <c r="AS23" s="94" t="str">
        <f t="shared" si="23"/>
        <v>-</v>
      </c>
      <c r="AT23" s="94" t="str">
        <f t="shared" si="24"/>
        <v>-</v>
      </c>
      <c r="AU23" s="94" t="str">
        <f t="shared" si="25"/>
        <v>-</v>
      </c>
      <c r="AV23" s="94" t="str">
        <f t="shared" si="26"/>
        <v>-</v>
      </c>
      <c r="AW23" s="94" t="str">
        <f t="shared" si="27"/>
        <v>-</v>
      </c>
      <c r="AX23" s="94" t="str">
        <f t="shared" si="28"/>
        <v>-</v>
      </c>
      <c r="AY23" s="94" t="str">
        <f t="shared" si="29"/>
        <v>-</v>
      </c>
      <c r="AZ23" s="94" t="str">
        <f t="shared" si="30"/>
        <v>-</v>
      </c>
      <c r="BA23" s="94" t="str">
        <f t="shared" si="31"/>
        <v>-</v>
      </c>
      <c r="BB23" s="94" t="str">
        <f t="shared" si="32"/>
        <v>-</v>
      </c>
      <c r="BC23" s="94" t="str">
        <f t="shared" si="33"/>
        <v>-</v>
      </c>
      <c r="BD23" s="94" t="str">
        <f t="shared" si="34"/>
        <v>-</v>
      </c>
      <c r="BE23" s="94" t="str">
        <f t="shared" si="35"/>
        <v>-</v>
      </c>
      <c r="BF23" s="94" t="str">
        <f t="shared" si="36"/>
        <v>-</v>
      </c>
      <c r="BG23" s="186" t="str">
        <f>IF(OR(AQ23="13",AQ23="14",AT23=8),"",IF(     AND(OR(AW23="AUTORIZADO", AW23="PENDIENTE", AW23="REDUCIDO", AW23="AMPLIADO"),AP23&lt;&gt;"HONORARIO" ), _xlfn.CONCAT(IF(AL23="X","H",AL23),"_",IF(OR(AT23=5,AT23=6),_xlfn.CONCAT(AT23,"A"),AT23),"_",VLOOKUP(AX23,Datos!$B$2:$C$5,2,TRUE)),""))</f>
        <v/>
      </c>
    </row>
    <row r="24" spans="1:59" x14ac:dyDescent="0.2">
      <c r="A24" s="19" t="s">
        <v>1193</v>
      </c>
      <c r="B24" s="19" t="s">
        <v>81</v>
      </c>
      <c r="C24" s="19">
        <v>17009878</v>
      </c>
      <c r="D24" s="19">
        <v>1</v>
      </c>
      <c r="E24" s="19" t="s">
        <v>1237</v>
      </c>
      <c r="F24" s="19" t="s">
        <v>1238</v>
      </c>
      <c r="G24" s="19" t="s">
        <v>1239</v>
      </c>
      <c r="H24" s="19" t="s">
        <v>1018</v>
      </c>
      <c r="I24" s="19" t="s">
        <v>653</v>
      </c>
      <c r="J24" s="19">
        <v>80</v>
      </c>
      <c r="K24" s="19" t="s">
        <v>556</v>
      </c>
      <c r="L24" s="19" t="s">
        <v>495</v>
      </c>
      <c r="M24" s="19" t="s">
        <v>16</v>
      </c>
      <c r="N24" s="19">
        <v>45721</v>
      </c>
      <c r="O24" s="19">
        <v>2</v>
      </c>
      <c r="P24" s="83">
        <v>1</v>
      </c>
      <c r="Q24" s="19" t="s">
        <v>23</v>
      </c>
      <c r="R24" s="19" t="s">
        <v>11</v>
      </c>
      <c r="S24" s="19" t="s">
        <v>23</v>
      </c>
      <c r="T24" s="19">
        <v>2</v>
      </c>
      <c r="U24" s="19" t="s">
        <v>11</v>
      </c>
      <c r="V24" s="19" t="s">
        <v>11</v>
      </c>
      <c r="W24" s="19" t="s">
        <v>11</v>
      </c>
      <c r="X24" s="19">
        <v>0</v>
      </c>
      <c r="Y24" s="19" t="s">
        <v>730</v>
      </c>
      <c r="Z24" s="19">
        <v>0</v>
      </c>
      <c r="AA24" s="19">
        <v>0</v>
      </c>
      <c r="AB24" s="19">
        <v>0</v>
      </c>
      <c r="AC24" s="186" t="str">
        <f>IF(OR(M24="13",M24="14",P24=8),"",IF(     AND(OR(S24="AUTORIZADO", S24="PENDIENTE", S24="REDUCIDO", S24="AMPLIADO"),L24&lt;&gt;"HONORARIO" ), _xlfn.CONCAT(IF(H24="X","H",H24),"_",IF(OR(P24=5,P24=6),_xlfn.CONCAT(P24,"A"),P24),"_",VLOOKUP(T24,Datos!$B$2:$C$5,2,TRUE)),""))</f>
        <v>M_1_[hasta 3]</v>
      </c>
      <c r="AD24" s="186">
        <f t="shared" si="10"/>
        <v>0</v>
      </c>
      <c r="AE24" s="90" t="str">
        <f t="shared" si="11"/>
        <v>-</v>
      </c>
      <c r="AF24" s="91" t="str">
        <f t="shared" si="12"/>
        <v>071901</v>
      </c>
      <c r="AG24" s="92"/>
      <c r="AH24" s="93" t="str">
        <f t="shared" si="13"/>
        <v>Comité Innova Chile</v>
      </c>
      <c r="AI24" s="90" t="str">
        <f t="shared" si="14"/>
        <v>-</v>
      </c>
      <c r="AJ24" s="90">
        <f t="shared" si="15"/>
        <v>1</v>
      </c>
      <c r="AK24" s="90" t="str">
        <f t="shared" si="16"/>
        <v>-</v>
      </c>
      <c r="AL24" s="90" t="str">
        <f t="shared" si="17"/>
        <v>Identifica este registro como MUJER</v>
      </c>
      <c r="AM24" s="90" t="str">
        <f t="shared" si="18"/>
        <v>-</v>
      </c>
      <c r="AN24" s="90" t="str">
        <f t="shared" si="19"/>
        <v>-</v>
      </c>
      <c r="AO24" s="90" t="str">
        <f t="shared" si="20"/>
        <v>-</v>
      </c>
      <c r="AP24" s="58" t="str">
        <f t="shared" si="21"/>
        <v>-</v>
      </c>
      <c r="AQ24" s="94" t="str">
        <f t="shared" si="22"/>
        <v>-</v>
      </c>
      <c r="AR24" s="94" t="str">
        <f>IF(N24="","PRIMER_DIA en blanco",
IF(AND(M24="01",N24&gt;=L_Conversion!$C$118,N24&lt;=L_Conversion!$D$118),"-",
IF(AND(M24="02",N24&gt;=L_Conversion!$C$119,N24&lt;=L_Conversion!$D$119),"-",
IF(AND(M24="03",N24&gt;=L_Conversion!$C$120,N24&lt;=L_Conversion!$D$120),"-",
IF(AND(M24="04",N24&gt;=L_Conversion!$C$121,N24&lt;=L_Conversion!$D$121),"-",
IF(AND(M24="05",N24&gt;=L_Conversion!$C$122,N24&lt;=L_Conversion!$D$122),"-",
IF(AND(M24="06",N24&gt;=L_Conversion!$C$123,N24&lt;=L_Conversion!$D$123),"-",
IF(AND(M24="07",N24&gt;=L_Conversion!$C$124,N24&lt;=L_Conversion!$D$124),"-",
IF(AND(M24="08",N24&gt;=L_Conversion!$C$125,N24&lt;=L_Conversion!$D$125),"-",
IF(AND(M24="09",N24&gt;=L_Conversion!$C$126,N24&lt;=L_Conversion!$D$126),"-",
IF(AND(M24="10",N24&gt;=L_Conversion!$C$127,N24&lt;=L_Conversion!$D$127),"-",
IF(AND(M24="11",N24&gt;=L_Conversion!$C$128,N24&lt;=L_Conversion!$D$128),"-",
IF(AND(M24="12",N24&gt;=L_Conversion!$C$129,N24&lt;=L_Conversion!$D$129),"-",
IF(AND(M24="13",N24&gt;=L_Conversion!$C$116,N24&lt;=L_Conversion!$D$116),"-",
IF(AND(M24="14",N24&gt;=L_Conversion!$C$117,N24&lt;=L_Conversion!$D$117),"-",
"PRIMER_DIA fuera de rango")))))))))))))))</f>
        <v>-</v>
      </c>
      <c r="AS24" s="94" t="str">
        <f t="shared" si="23"/>
        <v>-</v>
      </c>
      <c r="AT24" s="94" t="str">
        <f t="shared" si="24"/>
        <v>-</v>
      </c>
      <c r="AU24" s="94" t="str">
        <f t="shared" si="25"/>
        <v>-</v>
      </c>
      <c r="AV24" s="94" t="str">
        <f t="shared" si="26"/>
        <v>-</v>
      </c>
      <c r="AW24" s="94" t="str">
        <f t="shared" si="27"/>
        <v>-</v>
      </c>
      <c r="AX24" s="94" t="str">
        <f t="shared" si="28"/>
        <v>-</v>
      </c>
      <c r="AY24" s="94" t="str">
        <f t="shared" si="29"/>
        <v>-</v>
      </c>
      <c r="AZ24" s="94" t="str">
        <f t="shared" si="30"/>
        <v>-</v>
      </c>
      <c r="BA24" s="94" t="str">
        <f t="shared" si="31"/>
        <v>-</v>
      </c>
      <c r="BB24" s="94" t="str">
        <f t="shared" si="32"/>
        <v>-</v>
      </c>
      <c r="BC24" s="94" t="str">
        <f t="shared" si="33"/>
        <v>-</v>
      </c>
      <c r="BD24" s="94" t="str">
        <f t="shared" si="34"/>
        <v>-</v>
      </c>
      <c r="BE24" s="94" t="str">
        <f t="shared" si="35"/>
        <v>-</v>
      </c>
      <c r="BF24" s="94" t="str">
        <f t="shared" si="36"/>
        <v>-</v>
      </c>
      <c r="BG24" s="186" t="str">
        <f>IF(OR(AQ24="13",AQ24="14",AT24=8),"",IF(     AND(OR(AW24="AUTORIZADO", AW24="PENDIENTE", AW24="REDUCIDO", AW24="AMPLIADO"),AP24&lt;&gt;"HONORARIO" ), _xlfn.CONCAT(IF(AL24="X","H",AL24),"_",IF(OR(AT24=5,AT24=6),_xlfn.CONCAT(AT24,"A"),AT24),"_",VLOOKUP(AX24,Datos!$B$2:$C$5,2,TRUE)),""))</f>
        <v/>
      </c>
    </row>
    <row r="25" spans="1:59" x14ac:dyDescent="0.2">
      <c r="A25" s="19" t="s">
        <v>1193</v>
      </c>
      <c r="B25" s="19" t="s">
        <v>81</v>
      </c>
      <c r="C25" s="19">
        <v>20055823</v>
      </c>
      <c r="D25" s="19">
        <v>5</v>
      </c>
      <c r="E25" s="19" t="s">
        <v>1240</v>
      </c>
      <c r="F25" s="19" t="s">
        <v>1241</v>
      </c>
      <c r="G25" s="19" t="s">
        <v>1242</v>
      </c>
      <c r="H25" s="19" t="s">
        <v>1018</v>
      </c>
      <c r="I25" s="19" t="s">
        <v>653</v>
      </c>
      <c r="J25" s="19">
        <v>80</v>
      </c>
      <c r="K25" s="19" t="s">
        <v>556</v>
      </c>
      <c r="L25" s="19" t="s">
        <v>495</v>
      </c>
      <c r="M25" s="19" t="s">
        <v>16</v>
      </c>
      <c r="N25" s="19">
        <v>45722</v>
      </c>
      <c r="O25" s="19">
        <v>11</v>
      </c>
      <c r="P25" s="83">
        <v>1</v>
      </c>
      <c r="Q25" s="19" t="s">
        <v>23</v>
      </c>
      <c r="R25" s="19" t="s">
        <v>11</v>
      </c>
      <c r="S25" s="19" t="s">
        <v>23</v>
      </c>
      <c r="T25" s="19">
        <v>11</v>
      </c>
      <c r="U25" s="19" t="s">
        <v>11</v>
      </c>
      <c r="V25" s="19" t="s">
        <v>11</v>
      </c>
      <c r="W25" s="19" t="s">
        <v>11</v>
      </c>
      <c r="X25" s="19">
        <v>0</v>
      </c>
      <c r="Y25" s="19" t="s">
        <v>730</v>
      </c>
      <c r="Z25" s="19">
        <v>0</v>
      </c>
      <c r="AA25" s="19">
        <v>0</v>
      </c>
      <c r="AB25" s="19">
        <v>0</v>
      </c>
      <c r="AC25" s="186" t="str">
        <f>IF(OR(M25="13",M25="14",P25=8),"",IF(     AND(OR(S25="AUTORIZADO", S25="PENDIENTE", S25="REDUCIDO", S25="AMPLIADO"),L25&lt;&gt;"HONORARIO" ), _xlfn.CONCAT(IF(H25="X","H",H25),"_",IF(OR(P25=5,P25=6),_xlfn.CONCAT(P25,"A"),P25),"_",VLOOKUP(T25,Datos!$B$2:$C$5,2,TRUE)),""))</f>
        <v>M_1_[11 +]</v>
      </c>
      <c r="AD25" s="186">
        <f t="shared" si="10"/>
        <v>0</v>
      </c>
      <c r="AE25" s="90" t="str">
        <f t="shared" si="11"/>
        <v>-</v>
      </c>
      <c r="AF25" s="91" t="str">
        <f t="shared" si="12"/>
        <v>071901</v>
      </c>
      <c r="AG25" s="92"/>
      <c r="AH25" s="93" t="str">
        <f t="shared" si="13"/>
        <v>Comité Innova Chile</v>
      </c>
      <c r="AI25" s="90" t="str">
        <f t="shared" si="14"/>
        <v>-</v>
      </c>
      <c r="AJ25" s="90">
        <f t="shared" si="15"/>
        <v>5</v>
      </c>
      <c r="AK25" s="90" t="str">
        <f t="shared" si="16"/>
        <v>-</v>
      </c>
      <c r="AL25" s="90" t="str">
        <f t="shared" si="17"/>
        <v>Identifica este registro como MUJER</v>
      </c>
      <c r="AM25" s="90" t="str">
        <f t="shared" si="18"/>
        <v>-</v>
      </c>
      <c r="AN25" s="90" t="str">
        <f t="shared" si="19"/>
        <v>-</v>
      </c>
      <c r="AO25" s="90" t="str">
        <f t="shared" si="20"/>
        <v>-</v>
      </c>
      <c r="AP25" s="58" t="str">
        <f t="shared" si="21"/>
        <v>-</v>
      </c>
      <c r="AQ25" s="94" t="str">
        <f t="shared" si="22"/>
        <v>-</v>
      </c>
      <c r="AR25" s="94" t="str">
        <f>IF(N25="","PRIMER_DIA en blanco",
IF(AND(M25="01",N25&gt;=L_Conversion!$C$118,N25&lt;=L_Conversion!$D$118),"-",
IF(AND(M25="02",N25&gt;=L_Conversion!$C$119,N25&lt;=L_Conversion!$D$119),"-",
IF(AND(M25="03",N25&gt;=L_Conversion!$C$120,N25&lt;=L_Conversion!$D$120),"-",
IF(AND(M25="04",N25&gt;=L_Conversion!$C$121,N25&lt;=L_Conversion!$D$121),"-",
IF(AND(M25="05",N25&gt;=L_Conversion!$C$122,N25&lt;=L_Conversion!$D$122),"-",
IF(AND(M25="06",N25&gt;=L_Conversion!$C$123,N25&lt;=L_Conversion!$D$123),"-",
IF(AND(M25="07",N25&gt;=L_Conversion!$C$124,N25&lt;=L_Conversion!$D$124),"-",
IF(AND(M25="08",N25&gt;=L_Conversion!$C$125,N25&lt;=L_Conversion!$D$125),"-",
IF(AND(M25="09",N25&gt;=L_Conversion!$C$126,N25&lt;=L_Conversion!$D$126),"-",
IF(AND(M25="10",N25&gt;=L_Conversion!$C$127,N25&lt;=L_Conversion!$D$127),"-",
IF(AND(M25="11",N25&gt;=L_Conversion!$C$128,N25&lt;=L_Conversion!$D$128),"-",
IF(AND(M25="12",N25&gt;=L_Conversion!$C$129,N25&lt;=L_Conversion!$D$129),"-",
IF(AND(M25="13",N25&gt;=L_Conversion!$C$116,N25&lt;=L_Conversion!$D$116),"-",
IF(AND(M25="14",N25&gt;=L_Conversion!$C$117,N25&lt;=L_Conversion!$D$117),"-",
"PRIMER_DIA fuera de rango")))))))))))))))</f>
        <v>-</v>
      </c>
      <c r="AS25" s="94" t="str">
        <f t="shared" si="23"/>
        <v>-</v>
      </c>
      <c r="AT25" s="94" t="str">
        <f t="shared" si="24"/>
        <v>-</v>
      </c>
      <c r="AU25" s="94" t="str">
        <f t="shared" si="25"/>
        <v>-</v>
      </c>
      <c r="AV25" s="94" t="str">
        <f t="shared" si="26"/>
        <v>-</v>
      </c>
      <c r="AW25" s="94" t="str">
        <f t="shared" si="27"/>
        <v>-</v>
      </c>
      <c r="AX25" s="94" t="str">
        <f t="shared" si="28"/>
        <v>-</v>
      </c>
      <c r="AY25" s="94" t="str">
        <f t="shared" si="29"/>
        <v>-</v>
      </c>
      <c r="AZ25" s="94" t="str">
        <f t="shared" si="30"/>
        <v>-</v>
      </c>
      <c r="BA25" s="94" t="str">
        <f t="shared" si="31"/>
        <v>-</v>
      </c>
      <c r="BB25" s="94" t="str">
        <f t="shared" si="32"/>
        <v>-</v>
      </c>
      <c r="BC25" s="94" t="str">
        <f t="shared" si="33"/>
        <v>-</v>
      </c>
      <c r="BD25" s="94" t="str">
        <f t="shared" si="34"/>
        <v>-</v>
      </c>
      <c r="BE25" s="94" t="str">
        <f t="shared" si="35"/>
        <v>-</v>
      </c>
      <c r="BF25" s="94" t="str">
        <f t="shared" si="36"/>
        <v>-</v>
      </c>
      <c r="BG25" s="186" t="str">
        <f>IF(OR(AQ25="13",AQ25="14",AT25=8),"",IF(     AND(OR(AW25="AUTORIZADO", AW25="PENDIENTE", AW25="REDUCIDO", AW25="AMPLIADO"),AP25&lt;&gt;"HONORARIO" ), _xlfn.CONCAT(IF(AL25="X","H",AL25),"_",IF(OR(AT25=5,AT25=6),_xlfn.CONCAT(AT25,"A"),AT25),"_",VLOOKUP(AX25,Datos!$B$2:$C$5,2,TRUE)),""))</f>
        <v/>
      </c>
    </row>
    <row r="26" spans="1:59" x14ac:dyDescent="0.2">
      <c r="A26" s="19" t="s">
        <v>1193</v>
      </c>
      <c r="B26" s="19" t="s">
        <v>81</v>
      </c>
      <c r="C26" s="19">
        <v>5667514</v>
      </c>
      <c r="D26" s="19">
        <v>0</v>
      </c>
      <c r="E26" s="19" t="s">
        <v>1243</v>
      </c>
      <c r="F26" s="19" t="s">
        <v>1244</v>
      </c>
      <c r="G26" s="19" t="s">
        <v>1245</v>
      </c>
      <c r="H26" s="19" t="s">
        <v>1018</v>
      </c>
      <c r="I26" s="19" t="s">
        <v>653</v>
      </c>
      <c r="J26" s="19">
        <v>80</v>
      </c>
      <c r="K26" s="19" t="s">
        <v>560</v>
      </c>
      <c r="L26" s="19" t="s">
        <v>495</v>
      </c>
      <c r="M26" s="19" t="s">
        <v>16</v>
      </c>
      <c r="N26" s="19">
        <v>45728</v>
      </c>
      <c r="O26" s="19">
        <v>3</v>
      </c>
      <c r="P26" s="83">
        <v>1</v>
      </c>
      <c r="Q26" s="19" t="s">
        <v>23</v>
      </c>
      <c r="R26" s="19" t="s">
        <v>11</v>
      </c>
      <c r="S26" s="19" t="s">
        <v>23</v>
      </c>
      <c r="T26" s="19">
        <v>3</v>
      </c>
      <c r="U26" s="19" t="s">
        <v>11</v>
      </c>
      <c r="V26" s="19" t="s">
        <v>11</v>
      </c>
      <c r="W26" s="19" t="s">
        <v>11</v>
      </c>
      <c r="X26" s="19">
        <v>0</v>
      </c>
      <c r="Y26" s="19" t="s">
        <v>730</v>
      </c>
      <c r="Z26" s="19">
        <v>0</v>
      </c>
      <c r="AA26" s="19">
        <v>0</v>
      </c>
      <c r="AB26" s="19">
        <v>0</v>
      </c>
      <c r="AC26" s="186" t="str">
        <f>IF(OR(M26="13",M26="14",P26=8),"",IF(     AND(OR(S26="AUTORIZADO", S26="PENDIENTE", S26="REDUCIDO", S26="AMPLIADO"),L26&lt;&gt;"HONORARIO" ), _xlfn.CONCAT(IF(H26="X","H",H26),"_",IF(OR(P26=5,P26=6),_xlfn.CONCAT(P26,"A"),P26),"_",VLOOKUP(T26,Datos!$B$2:$C$5,2,TRUE)),""))</f>
        <v>M_1_[hasta 3]</v>
      </c>
      <c r="AD26" s="186">
        <f t="shared" si="10"/>
        <v>0</v>
      </c>
      <c r="AE26" s="90" t="str">
        <f t="shared" si="11"/>
        <v>-</v>
      </c>
      <c r="AF26" s="91" t="str">
        <f t="shared" si="12"/>
        <v>071901</v>
      </c>
      <c r="AG26" s="92"/>
      <c r="AH26" s="93" t="str">
        <f t="shared" si="13"/>
        <v>Comité Innova Chile</v>
      </c>
      <c r="AI26" s="90" t="str">
        <f t="shared" si="14"/>
        <v>-</v>
      </c>
      <c r="AJ26" s="90">
        <f t="shared" si="15"/>
        <v>0</v>
      </c>
      <c r="AK26" s="90" t="str">
        <f t="shared" si="16"/>
        <v>-</v>
      </c>
      <c r="AL26" s="90" t="str">
        <f t="shared" si="17"/>
        <v>Identifica este registro como MUJER</v>
      </c>
      <c r="AM26" s="90" t="str">
        <f t="shared" si="18"/>
        <v>-</v>
      </c>
      <c r="AN26" s="90" t="str">
        <f t="shared" si="19"/>
        <v>-</v>
      </c>
      <c r="AO26" s="90" t="str">
        <f t="shared" si="20"/>
        <v>-</v>
      </c>
      <c r="AP26" s="58" t="str">
        <f t="shared" si="21"/>
        <v>-</v>
      </c>
      <c r="AQ26" s="94" t="str">
        <f t="shared" si="22"/>
        <v>-</v>
      </c>
      <c r="AR26" s="94" t="str">
        <f>IF(N26="","PRIMER_DIA en blanco",
IF(AND(M26="01",N26&gt;=L_Conversion!$C$118,N26&lt;=L_Conversion!$D$118),"-",
IF(AND(M26="02",N26&gt;=L_Conversion!$C$119,N26&lt;=L_Conversion!$D$119),"-",
IF(AND(M26="03",N26&gt;=L_Conversion!$C$120,N26&lt;=L_Conversion!$D$120),"-",
IF(AND(M26="04",N26&gt;=L_Conversion!$C$121,N26&lt;=L_Conversion!$D$121),"-",
IF(AND(M26="05",N26&gt;=L_Conversion!$C$122,N26&lt;=L_Conversion!$D$122),"-",
IF(AND(M26="06",N26&gt;=L_Conversion!$C$123,N26&lt;=L_Conversion!$D$123),"-",
IF(AND(M26="07",N26&gt;=L_Conversion!$C$124,N26&lt;=L_Conversion!$D$124),"-",
IF(AND(M26="08",N26&gt;=L_Conversion!$C$125,N26&lt;=L_Conversion!$D$125),"-",
IF(AND(M26="09",N26&gt;=L_Conversion!$C$126,N26&lt;=L_Conversion!$D$126),"-",
IF(AND(M26="10",N26&gt;=L_Conversion!$C$127,N26&lt;=L_Conversion!$D$127),"-",
IF(AND(M26="11",N26&gt;=L_Conversion!$C$128,N26&lt;=L_Conversion!$D$128),"-",
IF(AND(M26="12",N26&gt;=L_Conversion!$C$129,N26&lt;=L_Conversion!$D$129),"-",
IF(AND(M26="13",N26&gt;=L_Conversion!$C$116,N26&lt;=L_Conversion!$D$116),"-",
IF(AND(M26="14",N26&gt;=L_Conversion!$C$117,N26&lt;=L_Conversion!$D$117),"-",
"PRIMER_DIA fuera de rango")))))))))))))))</f>
        <v>-</v>
      </c>
      <c r="AS26" s="94" t="str">
        <f t="shared" si="23"/>
        <v>-</v>
      </c>
      <c r="AT26" s="94" t="str">
        <f t="shared" si="24"/>
        <v>-</v>
      </c>
      <c r="AU26" s="94" t="str">
        <f t="shared" si="25"/>
        <v>-</v>
      </c>
      <c r="AV26" s="94" t="str">
        <f t="shared" si="26"/>
        <v>-</v>
      </c>
      <c r="AW26" s="94" t="str">
        <f t="shared" si="27"/>
        <v>-</v>
      </c>
      <c r="AX26" s="94" t="str">
        <f t="shared" si="28"/>
        <v>-</v>
      </c>
      <c r="AY26" s="94" t="str">
        <f t="shared" si="29"/>
        <v>-</v>
      </c>
      <c r="AZ26" s="94" t="str">
        <f t="shared" si="30"/>
        <v>-</v>
      </c>
      <c r="BA26" s="94" t="str">
        <f t="shared" si="31"/>
        <v>-</v>
      </c>
      <c r="BB26" s="94" t="str">
        <f t="shared" si="32"/>
        <v>-</v>
      </c>
      <c r="BC26" s="94" t="str">
        <f t="shared" si="33"/>
        <v>-</v>
      </c>
      <c r="BD26" s="94" t="str">
        <f t="shared" si="34"/>
        <v>-</v>
      </c>
      <c r="BE26" s="94" t="str">
        <f t="shared" si="35"/>
        <v>-</v>
      </c>
      <c r="BF26" s="94" t="str">
        <f t="shared" si="36"/>
        <v>-</v>
      </c>
      <c r="BG26" s="186" t="str">
        <f>IF(OR(AQ26="13",AQ26="14",AT26=8),"",IF(     AND(OR(AW26="AUTORIZADO", AW26="PENDIENTE", AW26="REDUCIDO", AW26="AMPLIADO"),AP26&lt;&gt;"HONORARIO" ), _xlfn.CONCAT(IF(AL26="X","H",AL26),"_",IF(OR(AT26=5,AT26=6),_xlfn.CONCAT(AT26,"A"),AT26),"_",VLOOKUP(AX26,Datos!$B$2:$C$5,2,TRUE)),""))</f>
        <v/>
      </c>
    </row>
    <row r="27" spans="1:59" x14ac:dyDescent="0.2">
      <c r="A27" s="19" t="s">
        <v>1193</v>
      </c>
      <c r="B27" s="19" t="s">
        <v>81</v>
      </c>
      <c r="C27" s="19">
        <v>17413900</v>
      </c>
      <c r="D27" s="19">
        <v>8</v>
      </c>
      <c r="E27" s="19" t="s">
        <v>1220</v>
      </c>
      <c r="F27" s="19" t="s">
        <v>1221</v>
      </c>
      <c r="G27" s="19" t="s">
        <v>1222</v>
      </c>
      <c r="H27" s="19" t="s">
        <v>1018</v>
      </c>
      <c r="I27" s="19" t="s">
        <v>655</v>
      </c>
      <c r="J27" s="19">
        <v>80</v>
      </c>
      <c r="K27" s="19" t="s">
        <v>556</v>
      </c>
      <c r="L27" s="19" t="s">
        <v>495</v>
      </c>
      <c r="M27" s="19" t="s">
        <v>16</v>
      </c>
      <c r="N27" s="19">
        <v>45733</v>
      </c>
      <c r="O27" s="19">
        <v>21</v>
      </c>
      <c r="P27" s="83">
        <v>1</v>
      </c>
      <c r="Q27" s="19" t="s">
        <v>23</v>
      </c>
      <c r="R27" s="19" t="s">
        <v>11</v>
      </c>
      <c r="S27" s="19" t="s">
        <v>23</v>
      </c>
      <c r="T27" s="19">
        <v>21</v>
      </c>
      <c r="U27" s="19" t="s">
        <v>11</v>
      </c>
      <c r="V27" s="19" t="s">
        <v>11</v>
      </c>
      <c r="W27" s="19" t="s">
        <v>11</v>
      </c>
      <c r="X27" s="19">
        <v>0</v>
      </c>
      <c r="Y27" s="19" t="s">
        <v>730</v>
      </c>
      <c r="Z27" s="19">
        <v>0</v>
      </c>
      <c r="AA27" s="19">
        <v>0</v>
      </c>
      <c r="AB27" s="19">
        <v>0</v>
      </c>
      <c r="AC27" s="186" t="str">
        <f>IF(OR(M27="13",M27="14",P27=8),"",IF(     AND(OR(S27="AUTORIZADO", S27="PENDIENTE", S27="REDUCIDO", S27="AMPLIADO"),L27&lt;&gt;"HONORARIO" ), _xlfn.CONCAT(IF(H27="X","H",H27),"_",IF(OR(P27=5,P27=6),_xlfn.CONCAT(P27,"A"),P27),"_",VLOOKUP(T27,Datos!$B$2:$C$5,2,TRUE)),""))</f>
        <v>M_1_[11 +]</v>
      </c>
      <c r="AD27" s="186">
        <f t="shared" si="10"/>
        <v>0</v>
      </c>
      <c r="AE27" s="90" t="str">
        <f t="shared" si="11"/>
        <v>-</v>
      </c>
      <c r="AF27" s="91" t="str">
        <f t="shared" si="12"/>
        <v>071901</v>
      </c>
      <c r="AG27" s="92"/>
      <c r="AH27" s="93" t="str">
        <f t="shared" si="13"/>
        <v>Comité Innova Chile</v>
      </c>
      <c r="AI27" s="90" t="str">
        <f t="shared" si="14"/>
        <v>-</v>
      </c>
      <c r="AJ27" s="90">
        <f t="shared" si="15"/>
        <v>8</v>
      </c>
      <c r="AK27" s="90" t="str">
        <f t="shared" si="16"/>
        <v>-</v>
      </c>
      <c r="AL27" s="90" t="str">
        <f t="shared" si="17"/>
        <v>Identifica este registro como MUJER</v>
      </c>
      <c r="AM27" s="90" t="str">
        <f t="shared" si="18"/>
        <v>-</v>
      </c>
      <c r="AN27" s="90" t="str">
        <f t="shared" si="19"/>
        <v>-</v>
      </c>
      <c r="AO27" s="90" t="str">
        <f t="shared" si="20"/>
        <v>-</v>
      </c>
      <c r="AP27" s="58" t="str">
        <f t="shared" si="21"/>
        <v>-</v>
      </c>
      <c r="AQ27" s="94" t="str">
        <f t="shared" si="22"/>
        <v>-</v>
      </c>
      <c r="AR27" s="94" t="str">
        <f>IF(N27="","PRIMER_DIA en blanco",
IF(AND(M27="01",N27&gt;=L_Conversion!$C$118,N27&lt;=L_Conversion!$D$118),"-",
IF(AND(M27="02",N27&gt;=L_Conversion!$C$119,N27&lt;=L_Conversion!$D$119),"-",
IF(AND(M27="03",N27&gt;=L_Conversion!$C$120,N27&lt;=L_Conversion!$D$120),"-",
IF(AND(M27="04",N27&gt;=L_Conversion!$C$121,N27&lt;=L_Conversion!$D$121),"-",
IF(AND(M27="05",N27&gt;=L_Conversion!$C$122,N27&lt;=L_Conversion!$D$122),"-",
IF(AND(M27="06",N27&gt;=L_Conversion!$C$123,N27&lt;=L_Conversion!$D$123),"-",
IF(AND(M27="07",N27&gt;=L_Conversion!$C$124,N27&lt;=L_Conversion!$D$124),"-",
IF(AND(M27="08",N27&gt;=L_Conversion!$C$125,N27&lt;=L_Conversion!$D$125),"-",
IF(AND(M27="09",N27&gt;=L_Conversion!$C$126,N27&lt;=L_Conversion!$D$126),"-",
IF(AND(M27="10",N27&gt;=L_Conversion!$C$127,N27&lt;=L_Conversion!$D$127),"-",
IF(AND(M27="11",N27&gt;=L_Conversion!$C$128,N27&lt;=L_Conversion!$D$128),"-",
IF(AND(M27="12",N27&gt;=L_Conversion!$C$129,N27&lt;=L_Conversion!$D$129),"-",
IF(AND(M27="13",N27&gt;=L_Conversion!$C$116,N27&lt;=L_Conversion!$D$116),"-",
IF(AND(M27="14",N27&gt;=L_Conversion!$C$117,N27&lt;=L_Conversion!$D$117),"-",
"PRIMER_DIA fuera de rango")))))))))))))))</f>
        <v>-</v>
      </c>
      <c r="AS27" s="94" t="str">
        <f t="shared" si="23"/>
        <v>-</v>
      </c>
      <c r="AT27" s="94" t="str">
        <f t="shared" si="24"/>
        <v>-</v>
      </c>
      <c r="AU27" s="94" t="str">
        <f t="shared" si="25"/>
        <v>-</v>
      </c>
      <c r="AV27" s="94" t="str">
        <f t="shared" si="26"/>
        <v>-</v>
      </c>
      <c r="AW27" s="94" t="str">
        <f t="shared" si="27"/>
        <v>-</v>
      </c>
      <c r="AX27" s="94" t="str">
        <f t="shared" si="28"/>
        <v>-</v>
      </c>
      <c r="AY27" s="94" t="str">
        <f t="shared" si="29"/>
        <v>-</v>
      </c>
      <c r="AZ27" s="94" t="str">
        <f t="shared" si="30"/>
        <v>-</v>
      </c>
      <c r="BA27" s="94" t="str">
        <f t="shared" si="31"/>
        <v>-</v>
      </c>
      <c r="BB27" s="94" t="str">
        <f t="shared" si="32"/>
        <v>-</v>
      </c>
      <c r="BC27" s="94" t="str">
        <f t="shared" si="33"/>
        <v>-</v>
      </c>
      <c r="BD27" s="94" t="str">
        <f t="shared" si="34"/>
        <v>-</v>
      </c>
      <c r="BE27" s="94" t="str">
        <f t="shared" si="35"/>
        <v>-</v>
      </c>
      <c r="BF27" s="94" t="str">
        <f t="shared" si="36"/>
        <v>-</v>
      </c>
      <c r="BG27" s="186" t="str">
        <f>IF(OR(AQ27="13",AQ27="14",AT27=8),"",IF(     AND(OR(AW27="AUTORIZADO", AW27="PENDIENTE", AW27="REDUCIDO", AW27="AMPLIADO"),AP27&lt;&gt;"HONORARIO" ), _xlfn.CONCAT(IF(AL27="X","H",AL27),"_",IF(OR(AT27=5,AT27=6),_xlfn.CONCAT(AT27,"A"),AT27),"_",VLOOKUP(AX27,Datos!$B$2:$C$5,2,TRUE)),""))</f>
        <v/>
      </c>
    </row>
    <row r="28" spans="1:59" x14ac:dyDescent="0.2">
      <c r="A28" s="19" t="s">
        <v>1193</v>
      </c>
      <c r="B28" s="19" t="s">
        <v>81</v>
      </c>
      <c r="C28" s="19">
        <v>20055823</v>
      </c>
      <c r="D28" s="19">
        <v>5</v>
      </c>
      <c r="E28" s="19" t="s">
        <v>1240</v>
      </c>
      <c r="F28" s="19" t="s">
        <v>1241</v>
      </c>
      <c r="G28" s="19" t="s">
        <v>1242</v>
      </c>
      <c r="H28" s="19" t="s">
        <v>1018</v>
      </c>
      <c r="I28" s="19" t="s">
        <v>653</v>
      </c>
      <c r="J28" s="19">
        <v>80</v>
      </c>
      <c r="K28" s="19" t="s">
        <v>556</v>
      </c>
      <c r="L28" s="19" t="s">
        <v>495</v>
      </c>
      <c r="M28" s="19" t="s">
        <v>16</v>
      </c>
      <c r="N28" s="19">
        <v>45733</v>
      </c>
      <c r="O28" s="19">
        <v>11</v>
      </c>
      <c r="P28" s="83">
        <v>1</v>
      </c>
      <c r="Q28" s="19" t="s">
        <v>23</v>
      </c>
      <c r="R28" s="19" t="s">
        <v>11</v>
      </c>
      <c r="S28" s="19" t="s">
        <v>23</v>
      </c>
      <c r="T28" s="19">
        <v>11</v>
      </c>
      <c r="U28" s="19" t="s">
        <v>11</v>
      </c>
      <c r="V28" s="19" t="s">
        <v>11</v>
      </c>
      <c r="W28" s="19" t="s">
        <v>11</v>
      </c>
      <c r="X28" s="19">
        <v>0</v>
      </c>
      <c r="Y28" s="19" t="s">
        <v>730</v>
      </c>
      <c r="Z28" s="19">
        <v>0</v>
      </c>
      <c r="AA28" s="19">
        <v>0</v>
      </c>
      <c r="AB28" s="19">
        <v>0</v>
      </c>
      <c r="AC28" s="186" t="str">
        <f>IF(OR(M28="13",M28="14",P28=8),"",IF(     AND(OR(S28="AUTORIZADO", S28="PENDIENTE", S28="REDUCIDO", S28="AMPLIADO"),L28&lt;&gt;"HONORARIO" ), _xlfn.CONCAT(IF(H28="X","H",H28),"_",IF(OR(P28=5,P28=6),_xlfn.CONCAT(P28,"A"),P28),"_",VLOOKUP(T28,Datos!$B$2:$C$5,2,TRUE)),""))</f>
        <v>M_1_[11 +]</v>
      </c>
      <c r="AD28" s="186">
        <f t="shared" si="10"/>
        <v>0</v>
      </c>
      <c r="AE28" s="90" t="str">
        <f t="shared" si="11"/>
        <v>-</v>
      </c>
      <c r="AF28" s="91" t="str">
        <f t="shared" si="12"/>
        <v>071901</v>
      </c>
      <c r="AG28" s="92"/>
      <c r="AH28" s="93" t="str">
        <f t="shared" si="13"/>
        <v>Comité Innova Chile</v>
      </c>
      <c r="AI28" s="90" t="str">
        <f t="shared" si="14"/>
        <v>-</v>
      </c>
      <c r="AJ28" s="90">
        <f t="shared" si="15"/>
        <v>5</v>
      </c>
      <c r="AK28" s="90" t="str">
        <f t="shared" si="16"/>
        <v>-</v>
      </c>
      <c r="AL28" s="90" t="str">
        <f t="shared" si="17"/>
        <v>Identifica este registro como MUJER</v>
      </c>
      <c r="AM28" s="90" t="str">
        <f t="shared" si="18"/>
        <v>-</v>
      </c>
      <c r="AN28" s="90" t="str">
        <f t="shared" si="19"/>
        <v>-</v>
      </c>
      <c r="AO28" s="90" t="str">
        <f t="shared" si="20"/>
        <v>-</v>
      </c>
      <c r="AP28" s="58" t="str">
        <f t="shared" si="21"/>
        <v>-</v>
      </c>
      <c r="AQ28" s="94" t="str">
        <f t="shared" si="22"/>
        <v>-</v>
      </c>
      <c r="AR28" s="94" t="str">
        <f>IF(N28="","PRIMER_DIA en blanco",
IF(AND(M28="01",N28&gt;=L_Conversion!$C$118,N28&lt;=L_Conversion!$D$118),"-",
IF(AND(M28="02",N28&gt;=L_Conversion!$C$119,N28&lt;=L_Conversion!$D$119),"-",
IF(AND(M28="03",N28&gt;=L_Conversion!$C$120,N28&lt;=L_Conversion!$D$120),"-",
IF(AND(M28="04",N28&gt;=L_Conversion!$C$121,N28&lt;=L_Conversion!$D$121),"-",
IF(AND(M28="05",N28&gt;=L_Conversion!$C$122,N28&lt;=L_Conversion!$D$122),"-",
IF(AND(M28="06",N28&gt;=L_Conversion!$C$123,N28&lt;=L_Conversion!$D$123),"-",
IF(AND(M28="07",N28&gt;=L_Conversion!$C$124,N28&lt;=L_Conversion!$D$124),"-",
IF(AND(M28="08",N28&gt;=L_Conversion!$C$125,N28&lt;=L_Conversion!$D$125),"-",
IF(AND(M28="09",N28&gt;=L_Conversion!$C$126,N28&lt;=L_Conversion!$D$126),"-",
IF(AND(M28="10",N28&gt;=L_Conversion!$C$127,N28&lt;=L_Conversion!$D$127),"-",
IF(AND(M28="11",N28&gt;=L_Conversion!$C$128,N28&lt;=L_Conversion!$D$128),"-",
IF(AND(M28="12",N28&gt;=L_Conversion!$C$129,N28&lt;=L_Conversion!$D$129),"-",
IF(AND(M28="13",N28&gt;=L_Conversion!$C$116,N28&lt;=L_Conversion!$D$116),"-",
IF(AND(M28="14",N28&gt;=L_Conversion!$C$117,N28&lt;=L_Conversion!$D$117),"-",
"PRIMER_DIA fuera de rango")))))))))))))))</f>
        <v>-</v>
      </c>
      <c r="AS28" s="94" t="str">
        <f t="shared" si="23"/>
        <v>-</v>
      </c>
      <c r="AT28" s="94" t="str">
        <f t="shared" si="24"/>
        <v>-</v>
      </c>
      <c r="AU28" s="94" t="str">
        <f t="shared" si="25"/>
        <v>-</v>
      </c>
      <c r="AV28" s="94" t="str">
        <f t="shared" si="26"/>
        <v>-</v>
      </c>
      <c r="AW28" s="94" t="str">
        <f t="shared" si="27"/>
        <v>-</v>
      </c>
      <c r="AX28" s="94" t="str">
        <f t="shared" si="28"/>
        <v>-</v>
      </c>
      <c r="AY28" s="94" t="str">
        <f t="shared" si="29"/>
        <v>-</v>
      </c>
      <c r="AZ28" s="94" t="str">
        <f t="shared" si="30"/>
        <v>-</v>
      </c>
      <c r="BA28" s="94" t="str">
        <f t="shared" si="31"/>
        <v>-</v>
      </c>
      <c r="BB28" s="94" t="str">
        <f t="shared" si="32"/>
        <v>-</v>
      </c>
      <c r="BC28" s="94" t="str">
        <f t="shared" si="33"/>
        <v>-</v>
      </c>
      <c r="BD28" s="94" t="str">
        <f t="shared" si="34"/>
        <v>-</v>
      </c>
      <c r="BE28" s="94" t="str">
        <f t="shared" si="35"/>
        <v>-</v>
      </c>
      <c r="BF28" s="94" t="str">
        <f t="shared" si="36"/>
        <v>-</v>
      </c>
      <c r="BG28" s="186" t="str">
        <f>IF(OR(AQ28="13",AQ28="14",AT28=8),"",IF(     AND(OR(AW28="AUTORIZADO", AW28="PENDIENTE", AW28="REDUCIDO", AW28="AMPLIADO"),AP28&lt;&gt;"HONORARIO" ), _xlfn.CONCAT(IF(AL28="X","H",AL28),"_",IF(OR(AT28=5,AT28=6),_xlfn.CONCAT(AT28,"A"),AT28),"_",VLOOKUP(AX28,Datos!$B$2:$C$5,2,TRUE)),""))</f>
        <v/>
      </c>
    </row>
    <row r="29" spans="1:59" x14ac:dyDescent="0.2">
      <c r="A29" s="19" t="s">
        <v>1193</v>
      </c>
      <c r="B29" s="19" t="s">
        <v>81</v>
      </c>
      <c r="C29" s="19">
        <v>13458012</v>
      </c>
      <c r="D29" s="19">
        <v>7</v>
      </c>
      <c r="E29" s="19" t="s">
        <v>1211</v>
      </c>
      <c r="F29" s="19" t="s">
        <v>1212</v>
      </c>
      <c r="G29" s="19" t="s">
        <v>1213</v>
      </c>
      <c r="H29" s="19" t="s">
        <v>1018</v>
      </c>
      <c r="I29" s="19" t="s">
        <v>653</v>
      </c>
      <c r="J29" s="19">
        <v>80</v>
      </c>
      <c r="K29" s="19" t="s">
        <v>560</v>
      </c>
      <c r="L29" s="19" t="s">
        <v>495</v>
      </c>
      <c r="M29" s="19" t="s">
        <v>16</v>
      </c>
      <c r="N29" s="19">
        <v>45735</v>
      </c>
      <c r="O29" s="19">
        <v>1</v>
      </c>
      <c r="P29" s="83">
        <v>1</v>
      </c>
      <c r="Q29" s="19" t="s">
        <v>23</v>
      </c>
      <c r="R29" s="19" t="s">
        <v>11</v>
      </c>
      <c r="S29" s="19" t="s">
        <v>23</v>
      </c>
      <c r="T29" s="19">
        <v>1</v>
      </c>
      <c r="U29" s="19" t="s">
        <v>11</v>
      </c>
      <c r="V29" s="19" t="s">
        <v>11</v>
      </c>
      <c r="W29" s="19" t="s">
        <v>11</v>
      </c>
      <c r="X29" s="19">
        <v>0</v>
      </c>
      <c r="Y29" s="19" t="s">
        <v>730</v>
      </c>
      <c r="Z29" s="19">
        <v>0</v>
      </c>
      <c r="AA29" s="19">
        <v>0</v>
      </c>
      <c r="AB29" s="19">
        <v>0</v>
      </c>
      <c r="AC29" s="186" t="str">
        <f>IF(OR(M29="13",M29="14",P29=8),"",IF(     AND(OR(S29="AUTORIZADO", S29="PENDIENTE", S29="REDUCIDO", S29="AMPLIADO"),L29&lt;&gt;"HONORARIO" ), _xlfn.CONCAT(IF(H29="X","H",H29),"_",IF(OR(P29=5,P29=6),_xlfn.CONCAT(P29,"A"),P29),"_",VLOOKUP(T29,Datos!$B$2:$C$5,2,TRUE)),""))</f>
        <v>M_1_[hasta 3]</v>
      </c>
      <c r="AD29" s="186">
        <f t="shared" si="10"/>
        <v>0</v>
      </c>
      <c r="AE29" s="90" t="str">
        <f t="shared" si="11"/>
        <v>-</v>
      </c>
      <c r="AF29" s="91" t="str">
        <f t="shared" si="12"/>
        <v>071901</v>
      </c>
      <c r="AG29" s="92"/>
      <c r="AH29" s="93" t="str">
        <f t="shared" si="13"/>
        <v>Comité Innova Chile</v>
      </c>
      <c r="AI29" s="90" t="str">
        <f t="shared" si="14"/>
        <v>-</v>
      </c>
      <c r="AJ29" s="90">
        <f t="shared" si="15"/>
        <v>7</v>
      </c>
      <c r="AK29" s="90" t="str">
        <f t="shared" si="16"/>
        <v>-</v>
      </c>
      <c r="AL29" s="90" t="str">
        <f t="shared" si="17"/>
        <v>Identifica este registro como MUJER</v>
      </c>
      <c r="AM29" s="90" t="str">
        <f t="shared" si="18"/>
        <v>-</v>
      </c>
      <c r="AN29" s="90" t="str">
        <f t="shared" si="19"/>
        <v>-</v>
      </c>
      <c r="AO29" s="90" t="str">
        <f t="shared" si="20"/>
        <v>-</v>
      </c>
      <c r="AP29" s="58" t="str">
        <f t="shared" si="21"/>
        <v>-</v>
      </c>
      <c r="AQ29" s="94" t="str">
        <f t="shared" si="22"/>
        <v>-</v>
      </c>
      <c r="AR29" s="94" t="str">
        <f>IF(N29="","PRIMER_DIA en blanco",
IF(AND(M29="01",N29&gt;=L_Conversion!$C$118,N29&lt;=L_Conversion!$D$118),"-",
IF(AND(M29="02",N29&gt;=L_Conversion!$C$119,N29&lt;=L_Conversion!$D$119),"-",
IF(AND(M29="03",N29&gt;=L_Conversion!$C$120,N29&lt;=L_Conversion!$D$120),"-",
IF(AND(M29="04",N29&gt;=L_Conversion!$C$121,N29&lt;=L_Conversion!$D$121),"-",
IF(AND(M29="05",N29&gt;=L_Conversion!$C$122,N29&lt;=L_Conversion!$D$122),"-",
IF(AND(M29="06",N29&gt;=L_Conversion!$C$123,N29&lt;=L_Conversion!$D$123),"-",
IF(AND(M29="07",N29&gt;=L_Conversion!$C$124,N29&lt;=L_Conversion!$D$124),"-",
IF(AND(M29="08",N29&gt;=L_Conversion!$C$125,N29&lt;=L_Conversion!$D$125),"-",
IF(AND(M29="09",N29&gt;=L_Conversion!$C$126,N29&lt;=L_Conversion!$D$126),"-",
IF(AND(M29="10",N29&gt;=L_Conversion!$C$127,N29&lt;=L_Conversion!$D$127),"-",
IF(AND(M29="11",N29&gt;=L_Conversion!$C$128,N29&lt;=L_Conversion!$D$128),"-",
IF(AND(M29="12",N29&gt;=L_Conversion!$C$129,N29&lt;=L_Conversion!$D$129),"-",
IF(AND(M29="13",N29&gt;=L_Conversion!$C$116,N29&lt;=L_Conversion!$D$116),"-",
IF(AND(M29="14",N29&gt;=L_Conversion!$C$117,N29&lt;=L_Conversion!$D$117),"-",
"PRIMER_DIA fuera de rango")))))))))))))))</f>
        <v>-</v>
      </c>
      <c r="AS29" s="94" t="str">
        <f t="shared" si="23"/>
        <v>-</v>
      </c>
      <c r="AT29" s="94" t="str">
        <f t="shared" si="24"/>
        <v>-</v>
      </c>
      <c r="AU29" s="94" t="str">
        <f t="shared" si="25"/>
        <v>-</v>
      </c>
      <c r="AV29" s="94" t="str">
        <f t="shared" si="26"/>
        <v>-</v>
      </c>
      <c r="AW29" s="94" t="str">
        <f t="shared" si="27"/>
        <v>-</v>
      </c>
      <c r="AX29" s="94" t="str">
        <f t="shared" si="28"/>
        <v>-</v>
      </c>
      <c r="AY29" s="94" t="str">
        <f t="shared" si="29"/>
        <v>-</v>
      </c>
      <c r="AZ29" s="94" t="str">
        <f t="shared" si="30"/>
        <v>-</v>
      </c>
      <c r="BA29" s="94" t="str">
        <f t="shared" si="31"/>
        <v>-</v>
      </c>
      <c r="BB29" s="94" t="str">
        <f t="shared" si="32"/>
        <v>-</v>
      </c>
      <c r="BC29" s="94" t="str">
        <f t="shared" si="33"/>
        <v>-</v>
      </c>
      <c r="BD29" s="94" t="str">
        <f t="shared" si="34"/>
        <v>-</v>
      </c>
      <c r="BE29" s="94" t="str">
        <f t="shared" si="35"/>
        <v>-</v>
      </c>
      <c r="BF29" s="94" t="str">
        <f t="shared" si="36"/>
        <v>-</v>
      </c>
      <c r="BG29" s="186" t="str">
        <f>IF(OR(AQ29="13",AQ29="14",AT29=8),"",IF(     AND(OR(AW29="AUTORIZADO", AW29="PENDIENTE", AW29="REDUCIDO", AW29="AMPLIADO"),AP29&lt;&gt;"HONORARIO" ), _xlfn.CONCAT(IF(AL29="X","H",AL29),"_",IF(OR(AT29=5,AT29=6),_xlfn.CONCAT(AT29,"A"),AT29),"_",VLOOKUP(AX29,Datos!$B$2:$C$5,2,TRUE)),""))</f>
        <v/>
      </c>
    </row>
    <row r="30" spans="1:59" x14ac:dyDescent="0.2">
      <c r="A30" s="19" t="s">
        <v>1193</v>
      </c>
      <c r="B30" s="19" t="s">
        <v>81</v>
      </c>
      <c r="C30" s="19">
        <v>16015859</v>
      </c>
      <c r="D30" s="19" t="s">
        <v>1246</v>
      </c>
      <c r="E30" s="19" t="s">
        <v>1247</v>
      </c>
      <c r="F30" s="19" t="s">
        <v>1248</v>
      </c>
      <c r="G30" s="19" t="s">
        <v>1249</v>
      </c>
      <c r="H30" s="19" t="s">
        <v>1018</v>
      </c>
      <c r="I30" s="19" t="s">
        <v>653</v>
      </c>
      <c r="J30" s="19">
        <v>80</v>
      </c>
      <c r="K30" s="19" t="s">
        <v>556</v>
      </c>
      <c r="L30" s="19" t="s">
        <v>495</v>
      </c>
      <c r="M30" s="19" t="s">
        <v>16</v>
      </c>
      <c r="N30" s="19">
        <v>45736</v>
      </c>
      <c r="O30" s="19">
        <v>21</v>
      </c>
      <c r="P30" s="83">
        <v>1</v>
      </c>
      <c r="Q30" s="19" t="s">
        <v>23</v>
      </c>
      <c r="R30" s="19" t="s">
        <v>11</v>
      </c>
      <c r="S30" s="19" t="s">
        <v>23</v>
      </c>
      <c r="T30" s="19">
        <v>21</v>
      </c>
      <c r="U30" s="19" t="s">
        <v>11</v>
      </c>
      <c r="V30" s="19" t="s">
        <v>11</v>
      </c>
      <c r="W30" s="19" t="s">
        <v>11</v>
      </c>
      <c r="X30" s="19">
        <v>0</v>
      </c>
      <c r="Y30" s="19" t="s">
        <v>730</v>
      </c>
      <c r="Z30" s="19">
        <v>0</v>
      </c>
      <c r="AA30" s="19">
        <v>0</v>
      </c>
      <c r="AB30" s="19">
        <v>0</v>
      </c>
      <c r="AC30" s="186" t="str">
        <f>IF(OR(M30="13",M30="14",P30=8),"",IF(     AND(OR(S30="AUTORIZADO", S30="PENDIENTE", S30="REDUCIDO", S30="AMPLIADO"),L30&lt;&gt;"HONORARIO" ), _xlfn.CONCAT(IF(H30="X","H",H30),"_",IF(OR(P30=5,P30=6),_xlfn.CONCAT(P30,"A"),P30),"_",VLOOKUP(T30,Datos!$B$2:$C$5,2,TRUE)),""))</f>
        <v>M_1_[11 +]</v>
      </c>
      <c r="AD30" s="186">
        <f t="shared" si="10"/>
        <v>0</v>
      </c>
      <c r="AE30" s="90" t="str">
        <f t="shared" si="11"/>
        <v>-</v>
      </c>
      <c r="AF30" s="91" t="str">
        <f t="shared" si="12"/>
        <v>071901</v>
      </c>
      <c r="AG30" s="92"/>
      <c r="AH30" s="93" t="str">
        <f t="shared" si="13"/>
        <v>Comité Innova Chile</v>
      </c>
      <c r="AI30" s="90" t="str">
        <f t="shared" si="14"/>
        <v>-</v>
      </c>
      <c r="AJ30" s="90" t="str">
        <f t="shared" si="15"/>
        <v>K</v>
      </c>
      <c r="AK30" s="90" t="str">
        <f t="shared" si="16"/>
        <v>-</v>
      </c>
      <c r="AL30" s="90" t="str">
        <f t="shared" si="17"/>
        <v>Identifica este registro como MUJER</v>
      </c>
      <c r="AM30" s="90" t="str">
        <f t="shared" si="18"/>
        <v>-</v>
      </c>
      <c r="AN30" s="90" t="str">
        <f t="shared" si="19"/>
        <v>-</v>
      </c>
      <c r="AO30" s="90" t="str">
        <f t="shared" si="20"/>
        <v>-</v>
      </c>
      <c r="AP30" s="58" t="str">
        <f t="shared" si="21"/>
        <v>-</v>
      </c>
      <c r="AQ30" s="94" t="str">
        <f t="shared" si="22"/>
        <v>-</v>
      </c>
      <c r="AR30" s="94" t="str">
        <f>IF(N30="","PRIMER_DIA en blanco",
IF(AND(M30="01",N30&gt;=L_Conversion!$C$118,N30&lt;=L_Conversion!$D$118),"-",
IF(AND(M30="02",N30&gt;=L_Conversion!$C$119,N30&lt;=L_Conversion!$D$119),"-",
IF(AND(M30="03",N30&gt;=L_Conversion!$C$120,N30&lt;=L_Conversion!$D$120),"-",
IF(AND(M30="04",N30&gt;=L_Conversion!$C$121,N30&lt;=L_Conversion!$D$121),"-",
IF(AND(M30="05",N30&gt;=L_Conversion!$C$122,N30&lt;=L_Conversion!$D$122),"-",
IF(AND(M30="06",N30&gt;=L_Conversion!$C$123,N30&lt;=L_Conversion!$D$123),"-",
IF(AND(M30="07",N30&gt;=L_Conversion!$C$124,N30&lt;=L_Conversion!$D$124),"-",
IF(AND(M30="08",N30&gt;=L_Conversion!$C$125,N30&lt;=L_Conversion!$D$125),"-",
IF(AND(M30="09",N30&gt;=L_Conversion!$C$126,N30&lt;=L_Conversion!$D$126),"-",
IF(AND(M30="10",N30&gt;=L_Conversion!$C$127,N30&lt;=L_Conversion!$D$127),"-",
IF(AND(M30="11",N30&gt;=L_Conversion!$C$128,N30&lt;=L_Conversion!$D$128),"-",
IF(AND(M30="12",N30&gt;=L_Conversion!$C$129,N30&lt;=L_Conversion!$D$129),"-",
IF(AND(M30="13",N30&gt;=L_Conversion!$C$116,N30&lt;=L_Conversion!$D$116),"-",
IF(AND(M30="14",N30&gt;=L_Conversion!$C$117,N30&lt;=L_Conversion!$D$117),"-",
"PRIMER_DIA fuera de rango")))))))))))))))</f>
        <v>-</v>
      </c>
      <c r="AS30" s="94" t="str">
        <f t="shared" si="23"/>
        <v>-</v>
      </c>
      <c r="AT30" s="94" t="str">
        <f t="shared" si="24"/>
        <v>-</v>
      </c>
      <c r="AU30" s="94" t="str">
        <f t="shared" si="25"/>
        <v>-</v>
      </c>
      <c r="AV30" s="94" t="str">
        <f t="shared" si="26"/>
        <v>-</v>
      </c>
      <c r="AW30" s="94" t="str">
        <f t="shared" si="27"/>
        <v>-</v>
      </c>
      <c r="AX30" s="94" t="str">
        <f t="shared" si="28"/>
        <v>-</v>
      </c>
      <c r="AY30" s="94" t="str">
        <f t="shared" si="29"/>
        <v>-</v>
      </c>
      <c r="AZ30" s="94" t="str">
        <f t="shared" si="30"/>
        <v>-</v>
      </c>
      <c r="BA30" s="94" t="str">
        <f t="shared" si="31"/>
        <v>-</v>
      </c>
      <c r="BB30" s="94" t="str">
        <f t="shared" si="32"/>
        <v>-</v>
      </c>
      <c r="BC30" s="94" t="str">
        <f t="shared" si="33"/>
        <v>-</v>
      </c>
      <c r="BD30" s="94" t="str">
        <f t="shared" si="34"/>
        <v>-</v>
      </c>
      <c r="BE30" s="94" t="str">
        <f t="shared" si="35"/>
        <v>-</v>
      </c>
      <c r="BF30" s="94" t="str">
        <f t="shared" si="36"/>
        <v>-</v>
      </c>
      <c r="BG30" s="186" t="str">
        <f>IF(OR(AQ30="13",AQ30="14",AT30=8),"",IF(     AND(OR(AW30="AUTORIZADO", AW30="PENDIENTE", AW30="REDUCIDO", AW30="AMPLIADO"),AP30&lt;&gt;"HONORARIO" ), _xlfn.CONCAT(IF(AL30="X","H",AL30),"_",IF(OR(AT30=5,AT30=6),_xlfn.CONCAT(AT30,"A"),AT30),"_",VLOOKUP(AX30,Datos!$B$2:$C$5,2,TRUE)),""))</f>
        <v/>
      </c>
    </row>
    <row r="31" spans="1:59" x14ac:dyDescent="0.2">
      <c r="A31" s="19" t="s">
        <v>1193</v>
      </c>
      <c r="B31" s="19" t="s">
        <v>81</v>
      </c>
      <c r="C31" s="19">
        <v>18357668</v>
      </c>
      <c r="D31" s="19">
        <v>2</v>
      </c>
      <c r="E31" s="19" t="s">
        <v>1208</v>
      </c>
      <c r="F31" s="19" t="s">
        <v>1209</v>
      </c>
      <c r="G31" s="19" t="s">
        <v>1210</v>
      </c>
      <c r="H31" s="19" t="s">
        <v>1018</v>
      </c>
      <c r="I31" s="19" t="s">
        <v>653</v>
      </c>
      <c r="J31" s="19">
        <v>80</v>
      </c>
      <c r="K31" s="19" t="s">
        <v>556</v>
      </c>
      <c r="L31" s="19" t="s">
        <v>495</v>
      </c>
      <c r="M31" s="19" t="s">
        <v>16</v>
      </c>
      <c r="N31" s="19">
        <v>45743</v>
      </c>
      <c r="O31" s="19">
        <v>1</v>
      </c>
      <c r="P31" s="83">
        <v>1</v>
      </c>
      <c r="Q31" s="19" t="s">
        <v>23</v>
      </c>
      <c r="R31" s="19" t="s">
        <v>11</v>
      </c>
      <c r="S31" s="19" t="s">
        <v>23</v>
      </c>
      <c r="T31" s="19">
        <v>1</v>
      </c>
      <c r="U31" s="19" t="s">
        <v>11</v>
      </c>
      <c r="V31" s="19" t="s">
        <v>11</v>
      </c>
      <c r="W31" s="19" t="s">
        <v>11</v>
      </c>
      <c r="X31" s="19">
        <v>0</v>
      </c>
      <c r="Y31" s="19" t="s">
        <v>730</v>
      </c>
      <c r="Z31" s="19">
        <v>0</v>
      </c>
      <c r="AA31" s="19">
        <v>0</v>
      </c>
      <c r="AB31" s="19">
        <v>0</v>
      </c>
      <c r="AC31" s="186" t="str">
        <f>IF(OR(M31="13",M31="14",P31=8),"",IF(     AND(OR(S31="AUTORIZADO", S31="PENDIENTE", S31="REDUCIDO", S31="AMPLIADO"),L31&lt;&gt;"HONORARIO" ), _xlfn.CONCAT(IF(H31="X","H",H31),"_",IF(OR(P31=5,P31=6),_xlfn.CONCAT(P31,"A"),P31),"_",VLOOKUP(T31,Datos!$B$2:$C$5,2,TRUE)),""))</f>
        <v>M_1_[hasta 3]</v>
      </c>
      <c r="AD31" s="186">
        <f t="shared" si="10"/>
        <v>0</v>
      </c>
      <c r="AE31" s="90" t="str">
        <f t="shared" si="11"/>
        <v>-</v>
      </c>
      <c r="AF31" s="91" t="str">
        <f t="shared" si="12"/>
        <v>071901</v>
      </c>
      <c r="AG31" s="92"/>
      <c r="AH31" s="93" t="str">
        <f t="shared" si="13"/>
        <v>Comité Innova Chile</v>
      </c>
      <c r="AI31" s="90" t="str">
        <f t="shared" si="14"/>
        <v>-</v>
      </c>
      <c r="AJ31" s="90">
        <f t="shared" si="15"/>
        <v>2</v>
      </c>
      <c r="AK31" s="90" t="str">
        <f t="shared" si="16"/>
        <v>-</v>
      </c>
      <c r="AL31" s="90" t="str">
        <f t="shared" si="17"/>
        <v>Identifica este registro como MUJER</v>
      </c>
      <c r="AM31" s="90" t="str">
        <f t="shared" si="18"/>
        <v>-</v>
      </c>
      <c r="AN31" s="90" t="str">
        <f t="shared" si="19"/>
        <v>-</v>
      </c>
      <c r="AO31" s="90" t="str">
        <f t="shared" si="20"/>
        <v>-</v>
      </c>
      <c r="AP31" s="58" t="str">
        <f t="shared" si="21"/>
        <v>-</v>
      </c>
      <c r="AQ31" s="94" t="str">
        <f t="shared" si="22"/>
        <v>-</v>
      </c>
      <c r="AR31" s="94" t="str">
        <f>IF(N31="","PRIMER_DIA en blanco",
IF(AND(M31="01",N31&gt;=L_Conversion!$C$118,N31&lt;=L_Conversion!$D$118),"-",
IF(AND(M31="02",N31&gt;=L_Conversion!$C$119,N31&lt;=L_Conversion!$D$119),"-",
IF(AND(M31="03",N31&gt;=L_Conversion!$C$120,N31&lt;=L_Conversion!$D$120),"-",
IF(AND(M31="04",N31&gt;=L_Conversion!$C$121,N31&lt;=L_Conversion!$D$121),"-",
IF(AND(M31="05",N31&gt;=L_Conversion!$C$122,N31&lt;=L_Conversion!$D$122),"-",
IF(AND(M31="06",N31&gt;=L_Conversion!$C$123,N31&lt;=L_Conversion!$D$123),"-",
IF(AND(M31="07",N31&gt;=L_Conversion!$C$124,N31&lt;=L_Conversion!$D$124),"-",
IF(AND(M31="08",N31&gt;=L_Conversion!$C$125,N31&lt;=L_Conversion!$D$125),"-",
IF(AND(M31="09",N31&gt;=L_Conversion!$C$126,N31&lt;=L_Conversion!$D$126),"-",
IF(AND(M31="10",N31&gt;=L_Conversion!$C$127,N31&lt;=L_Conversion!$D$127),"-",
IF(AND(M31="11",N31&gt;=L_Conversion!$C$128,N31&lt;=L_Conversion!$D$128),"-",
IF(AND(M31="12",N31&gt;=L_Conversion!$C$129,N31&lt;=L_Conversion!$D$129),"-",
IF(AND(M31="13",N31&gt;=L_Conversion!$C$116,N31&lt;=L_Conversion!$D$116),"-",
IF(AND(M31="14",N31&gt;=L_Conversion!$C$117,N31&lt;=L_Conversion!$D$117),"-",
"PRIMER_DIA fuera de rango")))))))))))))))</f>
        <v>-</v>
      </c>
      <c r="AS31" s="94" t="str">
        <f t="shared" si="23"/>
        <v>-</v>
      </c>
      <c r="AT31" s="94" t="str">
        <f t="shared" si="24"/>
        <v>-</v>
      </c>
      <c r="AU31" s="94" t="str">
        <f t="shared" si="25"/>
        <v>-</v>
      </c>
      <c r="AV31" s="94" t="str">
        <f t="shared" si="26"/>
        <v>-</v>
      </c>
      <c r="AW31" s="94" t="str">
        <f t="shared" si="27"/>
        <v>-</v>
      </c>
      <c r="AX31" s="94" t="str">
        <f t="shared" si="28"/>
        <v>-</v>
      </c>
      <c r="AY31" s="94" t="str">
        <f t="shared" si="29"/>
        <v>-</v>
      </c>
      <c r="AZ31" s="94" t="str">
        <f t="shared" si="30"/>
        <v>-</v>
      </c>
      <c r="BA31" s="94" t="str">
        <f t="shared" si="31"/>
        <v>-</v>
      </c>
      <c r="BB31" s="94" t="str">
        <f t="shared" si="32"/>
        <v>-</v>
      </c>
      <c r="BC31" s="94" t="str">
        <f t="shared" si="33"/>
        <v>-</v>
      </c>
      <c r="BD31" s="94" t="str">
        <f t="shared" si="34"/>
        <v>-</v>
      </c>
      <c r="BE31" s="94" t="str">
        <f t="shared" si="35"/>
        <v>-</v>
      </c>
      <c r="BF31" s="94" t="str">
        <f t="shared" si="36"/>
        <v>-</v>
      </c>
      <c r="BG31" s="186" t="str">
        <f>IF(OR(AQ31="13",AQ31="14",AT31=8),"",IF(     AND(OR(AW31="AUTORIZADO", AW31="PENDIENTE", AW31="REDUCIDO", AW31="AMPLIADO"),AP31&lt;&gt;"HONORARIO" ), _xlfn.CONCAT(IF(AL31="X","H",AL31),"_",IF(OR(AT31=5,AT31=6),_xlfn.CONCAT(AT31,"A"),AT31),"_",VLOOKUP(AX31,Datos!$B$2:$C$5,2,TRUE)),""))</f>
        <v/>
      </c>
    </row>
    <row r="32" spans="1:59" x14ac:dyDescent="0.2">
      <c r="A32" s="19" t="s">
        <v>1193</v>
      </c>
      <c r="B32" s="19" t="s">
        <v>81</v>
      </c>
      <c r="C32" s="19">
        <v>18357668</v>
      </c>
      <c r="D32" s="19">
        <v>2</v>
      </c>
      <c r="E32" s="19" t="s">
        <v>1208</v>
      </c>
      <c r="F32" s="19" t="s">
        <v>1209</v>
      </c>
      <c r="G32" s="19" t="s">
        <v>1210</v>
      </c>
      <c r="H32" s="19" t="s">
        <v>1018</v>
      </c>
      <c r="I32" s="19" t="s">
        <v>653</v>
      </c>
      <c r="J32" s="19">
        <v>80</v>
      </c>
      <c r="K32" s="19" t="s">
        <v>556</v>
      </c>
      <c r="L32" s="19" t="s">
        <v>495</v>
      </c>
      <c r="M32" s="19" t="s">
        <v>16</v>
      </c>
      <c r="N32" s="19">
        <v>45744</v>
      </c>
      <c r="O32" s="19">
        <v>1</v>
      </c>
      <c r="P32" s="83">
        <v>1</v>
      </c>
      <c r="Q32" s="19" t="s">
        <v>23</v>
      </c>
      <c r="R32" s="19" t="s">
        <v>11</v>
      </c>
      <c r="S32" s="19" t="s">
        <v>23</v>
      </c>
      <c r="T32" s="19">
        <v>1</v>
      </c>
      <c r="U32" s="19" t="s">
        <v>11</v>
      </c>
      <c r="V32" s="19" t="s">
        <v>11</v>
      </c>
      <c r="W32" s="19" t="s">
        <v>11</v>
      </c>
      <c r="X32" s="19">
        <v>0</v>
      </c>
      <c r="Y32" s="19" t="s">
        <v>730</v>
      </c>
      <c r="Z32" s="19">
        <v>0</v>
      </c>
      <c r="AA32" s="19">
        <v>0</v>
      </c>
      <c r="AB32" s="19">
        <v>0</v>
      </c>
      <c r="AC32" s="186" t="str">
        <f>IF(OR(M32="13",M32="14",P32=8),"",IF(     AND(OR(S32="AUTORIZADO", S32="PENDIENTE", S32="REDUCIDO", S32="AMPLIADO"),L32&lt;&gt;"HONORARIO" ), _xlfn.CONCAT(IF(H32="X","H",H32),"_",IF(OR(P32=5,P32=6),_xlfn.CONCAT(P32,"A"),P32),"_",VLOOKUP(T32,Datos!$B$2:$C$5,2,TRUE)),""))</f>
        <v>M_1_[hasta 3]</v>
      </c>
      <c r="AD32" s="186">
        <f t="shared" si="10"/>
        <v>0</v>
      </c>
      <c r="AE32" s="90" t="str">
        <f t="shared" si="11"/>
        <v>-</v>
      </c>
      <c r="AF32" s="91" t="str">
        <f t="shared" si="12"/>
        <v>071901</v>
      </c>
      <c r="AG32" s="92"/>
      <c r="AH32" s="93" t="str">
        <f t="shared" si="13"/>
        <v>Comité Innova Chile</v>
      </c>
      <c r="AI32" s="90" t="str">
        <f t="shared" si="14"/>
        <v>-</v>
      </c>
      <c r="AJ32" s="90">
        <f t="shared" si="15"/>
        <v>2</v>
      </c>
      <c r="AK32" s="90" t="str">
        <f t="shared" si="16"/>
        <v>-</v>
      </c>
      <c r="AL32" s="90" t="str">
        <f t="shared" si="17"/>
        <v>Identifica este registro como MUJER</v>
      </c>
      <c r="AM32" s="90" t="str">
        <f t="shared" si="18"/>
        <v>-</v>
      </c>
      <c r="AN32" s="90" t="str">
        <f t="shared" si="19"/>
        <v>-</v>
      </c>
      <c r="AO32" s="90" t="str">
        <f t="shared" si="20"/>
        <v>-</v>
      </c>
      <c r="AP32" s="58" t="str">
        <f t="shared" si="21"/>
        <v>-</v>
      </c>
      <c r="AQ32" s="94" t="str">
        <f t="shared" si="22"/>
        <v>-</v>
      </c>
      <c r="AR32" s="94" t="str">
        <f>IF(N32="","PRIMER_DIA en blanco",
IF(AND(M32="01",N32&gt;=L_Conversion!$C$118,N32&lt;=L_Conversion!$D$118),"-",
IF(AND(M32="02",N32&gt;=L_Conversion!$C$119,N32&lt;=L_Conversion!$D$119),"-",
IF(AND(M32="03",N32&gt;=L_Conversion!$C$120,N32&lt;=L_Conversion!$D$120),"-",
IF(AND(M32="04",N32&gt;=L_Conversion!$C$121,N32&lt;=L_Conversion!$D$121),"-",
IF(AND(M32="05",N32&gt;=L_Conversion!$C$122,N32&lt;=L_Conversion!$D$122),"-",
IF(AND(M32="06",N32&gt;=L_Conversion!$C$123,N32&lt;=L_Conversion!$D$123),"-",
IF(AND(M32="07",N32&gt;=L_Conversion!$C$124,N32&lt;=L_Conversion!$D$124),"-",
IF(AND(M32="08",N32&gt;=L_Conversion!$C$125,N32&lt;=L_Conversion!$D$125),"-",
IF(AND(M32="09",N32&gt;=L_Conversion!$C$126,N32&lt;=L_Conversion!$D$126),"-",
IF(AND(M32="10",N32&gt;=L_Conversion!$C$127,N32&lt;=L_Conversion!$D$127),"-",
IF(AND(M32="11",N32&gt;=L_Conversion!$C$128,N32&lt;=L_Conversion!$D$128),"-",
IF(AND(M32="12",N32&gt;=L_Conversion!$C$129,N32&lt;=L_Conversion!$D$129),"-",
IF(AND(M32="13",N32&gt;=L_Conversion!$C$116,N32&lt;=L_Conversion!$D$116),"-",
IF(AND(M32="14",N32&gt;=L_Conversion!$C$117,N32&lt;=L_Conversion!$D$117),"-",
"PRIMER_DIA fuera de rango")))))))))))))))</f>
        <v>-</v>
      </c>
      <c r="AS32" s="94" t="str">
        <f t="shared" si="23"/>
        <v>-</v>
      </c>
      <c r="AT32" s="94" t="str">
        <f t="shared" si="24"/>
        <v>-</v>
      </c>
      <c r="AU32" s="94" t="str">
        <f t="shared" si="25"/>
        <v>-</v>
      </c>
      <c r="AV32" s="94" t="str">
        <f t="shared" si="26"/>
        <v>-</v>
      </c>
      <c r="AW32" s="94" t="str">
        <f t="shared" si="27"/>
        <v>-</v>
      </c>
      <c r="AX32" s="94" t="str">
        <f t="shared" si="28"/>
        <v>-</v>
      </c>
      <c r="AY32" s="94" t="str">
        <f t="shared" si="29"/>
        <v>-</v>
      </c>
      <c r="AZ32" s="94" t="str">
        <f t="shared" si="30"/>
        <v>-</v>
      </c>
      <c r="BA32" s="94" t="str">
        <f t="shared" si="31"/>
        <v>-</v>
      </c>
      <c r="BB32" s="94" t="str">
        <f t="shared" si="32"/>
        <v>-</v>
      </c>
      <c r="BC32" s="94" t="str">
        <f t="shared" si="33"/>
        <v>-</v>
      </c>
      <c r="BD32" s="94" t="str">
        <f t="shared" si="34"/>
        <v>-</v>
      </c>
      <c r="BE32" s="94" t="str">
        <f t="shared" si="35"/>
        <v>-</v>
      </c>
      <c r="BF32" s="94" t="str">
        <f t="shared" si="36"/>
        <v>-</v>
      </c>
      <c r="BG32" s="186" t="str">
        <f>IF(OR(AQ32="13",AQ32="14",AT32=8),"",IF(     AND(OR(AW32="AUTORIZADO", AW32="PENDIENTE", AW32="REDUCIDO", AW32="AMPLIADO"),AP32&lt;&gt;"HONORARIO" ), _xlfn.CONCAT(IF(AL32="X","H",AL32),"_",IF(OR(AT32=5,AT32=6),_xlfn.CONCAT(AT32,"A"),AT32),"_",VLOOKUP(AX32,Datos!$B$2:$C$5,2,TRUE)),""))</f>
        <v/>
      </c>
    </row>
    <row r="33" spans="1:59" x14ac:dyDescent="0.2">
      <c r="A33" s="19" t="s">
        <v>1193</v>
      </c>
      <c r="B33" s="19" t="s">
        <v>81</v>
      </c>
      <c r="C33" s="19">
        <v>20055823</v>
      </c>
      <c r="D33" s="19">
        <v>5</v>
      </c>
      <c r="E33" s="19" t="s">
        <v>1240</v>
      </c>
      <c r="F33" s="19" t="s">
        <v>1241</v>
      </c>
      <c r="G33" s="19" t="s">
        <v>1242</v>
      </c>
      <c r="H33" s="19" t="s">
        <v>1018</v>
      </c>
      <c r="I33" s="19" t="s">
        <v>653</v>
      </c>
      <c r="J33" s="19">
        <v>80</v>
      </c>
      <c r="K33" s="19" t="s">
        <v>556</v>
      </c>
      <c r="L33" s="19" t="s">
        <v>495</v>
      </c>
      <c r="M33" s="19" t="s">
        <v>16</v>
      </c>
      <c r="N33" s="19">
        <v>45744</v>
      </c>
      <c r="O33" s="19">
        <v>11</v>
      </c>
      <c r="P33" s="83">
        <v>1</v>
      </c>
      <c r="Q33" s="19" t="s">
        <v>23</v>
      </c>
      <c r="R33" s="19" t="s">
        <v>11</v>
      </c>
      <c r="S33" s="19" t="s">
        <v>23</v>
      </c>
      <c r="T33" s="19">
        <v>11</v>
      </c>
      <c r="U33" s="19" t="s">
        <v>11</v>
      </c>
      <c r="V33" s="19" t="s">
        <v>11</v>
      </c>
      <c r="W33" s="19" t="s">
        <v>11</v>
      </c>
      <c r="X33" s="19">
        <v>0</v>
      </c>
      <c r="Y33" s="19" t="s">
        <v>730</v>
      </c>
      <c r="Z33" s="19">
        <v>0</v>
      </c>
      <c r="AA33" s="19">
        <v>0</v>
      </c>
      <c r="AB33" s="19">
        <v>0</v>
      </c>
      <c r="AC33" s="186" t="str">
        <f>IF(OR(M33="13",M33="14",P33=8),"",IF(     AND(OR(S33="AUTORIZADO", S33="PENDIENTE", S33="REDUCIDO", S33="AMPLIADO"),L33&lt;&gt;"HONORARIO" ), _xlfn.CONCAT(IF(H33="X","H",H33),"_",IF(OR(P33=5,P33=6),_xlfn.CONCAT(P33,"A"),P33),"_",VLOOKUP(T33,Datos!$B$2:$C$5,2,TRUE)),""))</f>
        <v>M_1_[11 +]</v>
      </c>
      <c r="AD33" s="186">
        <f t="shared" si="10"/>
        <v>0</v>
      </c>
      <c r="AE33" s="90" t="str">
        <f t="shared" si="11"/>
        <v>-</v>
      </c>
      <c r="AF33" s="91" t="str">
        <f t="shared" si="12"/>
        <v>071901</v>
      </c>
      <c r="AG33" s="92"/>
      <c r="AH33" s="93" t="str">
        <f t="shared" si="13"/>
        <v>Comité Innova Chile</v>
      </c>
      <c r="AI33" s="90" t="str">
        <f t="shared" si="14"/>
        <v>-</v>
      </c>
      <c r="AJ33" s="90">
        <f t="shared" si="15"/>
        <v>5</v>
      </c>
      <c r="AK33" s="90" t="str">
        <f t="shared" si="16"/>
        <v>-</v>
      </c>
      <c r="AL33" s="90" t="str">
        <f t="shared" si="17"/>
        <v>Identifica este registro como MUJER</v>
      </c>
      <c r="AM33" s="90" t="str">
        <f t="shared" si="18"/>
        <v>-</v>
      </c>
      <c r="AN33" s="90" t="str">
        <f t="shared" si="19"/>
        <v>-</v>
      </c>
      <c r="AO33" s="90" t="str">
        <f t="shared" si="20"/>
        <v>-</v>
      </c>
      <c r="AP33" s="58" t="str">
        <f t="shared" si="21"/>
        <v>-</v>
      </c>
      <c r="AQ33" s="94" t="str">
        <f t="shared" si="22"/>
        <v>-</v>
      </c>
      <c r="AR33" s="94" t="str">
        <f>IF(N33="","PRIMER_DIA en blanco",
IF(AND(M33="01",N33&gt;=L_Conversion!$C$118,N33&lt;=L_Conversion!$D$118),"-",
IF(AND(M33="02",N33&gt;=L_Conversion!$C$119,N33&lt;=L_Conversion!$D$119),"-",
IF(AND(M33="03",N33&gt;=L_Conversion!$C$120,N33&lt;=L_Conversion!$D$120),"-",
IF(AND(M33="04",N33&gt;=L_Conversion!$C$121,N33&lt;=L_Conversion!$D$121),"-",
IF(AND(M33="05",N33&gt;=L_Conversion!$C$122,N33&lt;=L_Conversion!$D$122),"-",
IF(AND(M33="06",N33&gt;=L_Conversion!$C$123,N33&lt;=L_Conversion!$D$123),"-",
IF(AND(M33="07",N33&gt;=L_Conversion!$C$124,N33&lt;=L_Conversion!$D$124),"-",
IF(AND(M33="08",N33&gt;=L_Conversion!$C$125,N33&lt;=L_Conversion!$D$125),"-",
IF(AND(M33="09",N33&gt;=L_Conversion!$C$126,N33&lt;=L_Conversion!$D$126),"-",
IF(AND(M33="10",N33&gt;=L_Conversion!$C$127,N33&lt;=L_Conversion!$D$127),"-",
IF(AND(M33="11",N33&gt;=L_Conversion!$C$128,N33&lt;=L_Conversion!$D$128),"-",
IF(AND(M33="12",N33&gt;=L_Conversion!$C$129,N33&lt;=L_Conversion!$D$129),"-",
IF(AND(M33="13",N33&gt;=L_Conversion!$C$116,N33&lt;=L_Conversion!$D$116),"-",
IF(AND(M33="14",N33&gt;=L_Conversion!$C$117,N33&lt;=L_Conversion!$D$117),"-",
"PRIMER_DIA fuera de rango")))))))))))))))</f>
        <v>-</v>
      </c>
      <c r="AS33" s="94" t="str">
        <f t="shared" si="23"/>
        <v>-</v>
      </c>
      <c r="AT33" s="94" t="str">
        <f t="shared" si="24"/>
        <v>-</v>
      </c>
      <c r="AU33" s="94" t="str">
        <f t="shared" si="25"/>
        <v>-</v>
      </c>
      <c r="AV33" s="94" t="str">
        <f t="shared" si="26"/>
        <v>-</v>
      </c>
      <c r="AW33" s="94" t="str">
        <f t="shared" si="27"/>
        <v>-</v>
      </c>
      <c r="AX33" s="94" t="str">
        <f t="shared" si="28"/>
        <v>-</v>
      </c>
      <c r="AY33" s="94" t="str">
        <f t="shared" si="29"/>
        <v>-</v>
      </c>
      <c r="AZ33" s="94" t="str">
        <f t="shared" si="30"/>
        <v>-</v>
      </c>
      <c r="BA33" s="94" t="str">
        <f t="shared" si="31"/>
        <v>-</v>
      </c>
      <c r="BB33" s="94" t="str">
        <f t="shared" si="32"/>
        <v>-</v>
      </c>
      <c r="BC33" s="94" t="str">
        <f t="shared" si="33"/>
        <v>-</v>
      </c>
      <c r="BD33" s="94" t="str">
        <f t="shared" si="34"/>
        <v>-</v>
      </c>
      <c r="BE33" s="94" t="str">
        <f t="shared" si="35"/>
        <v>-</v>
      </c>
      <c r="BF33" s="94" t="str">
        <f t="shared" si="36"/>
        <v>-</v>
      </c>
      <c r="BG33" s="186" t="str">
        <f>IF(OR(AQ33="13",AQ33="14",AT33=8),"",IF(     AND(OR(AW33="AUTORIZADO", AW33="PENDIENTE", AW33="REDUCIDO", AW33="AMPLIADO"),AP33&lt;&gt;"HONORARIO" ), _xlfn.CONCAT(IF(AL33="X","H",AL33),"_",IF(OR(AT33=5,AT33=6),_xlfn.CONCAT(AT33,"A"),AT33),"_",VLOOKUP(AX33,Datos!$B$2:$C$5,2,TRUE)),""))</f>
        <v/>
      </c>
    </row>
    <row r="34" spans="1:59" x14ac:dyDescent="0.2">
      <c r="A34" s="19" t="s">
        <v>1193</v>
      </c>
      <c r="B34" s="19" t="s">
        <v>81</v>
      </c>
      <c r="C34" s="19">
        <v>16410183</v>
      </c>
      <c r="D34" s="19">
        <v>5</v>
      </c>
      <c r="E34" s="19" t="s">
        <v>1250</v>
      </c>
      <c r="F34" s="19" t="s">
        <v>1250</v>
      </c>
      <c r="G34" s="19" t="s">
        <v>1251</v>
      </c>
      <c r="H34" s="19" t="s">
        <v>1018</v>
      </c>
      <c r="I34" s="19" t="s">
        <v>653</v>
      </c>
      <c r="J34" s="19">
        <v>80</v>
      </c>
      <c r="K34" s="19" t="s">
        <v>556</v>
      </c>
      <c r="L34" s="19" t="s">
        <v>495</v>
      </c>
      <c r="M34" s="19" t="s">
        <v>16</v>
      </c>
      <c r="N34" s="19">
        <v>45744</v>
      </c>
      <c r="O34" s="19">
        <v>15</v>
      </c>
      <c r="P34" s="83">
        <v>1</v>
      </c>
      <c r="Q34" s="19" t="s">
        <v>23</v>
      </c>
      <c r="R34" s="19" t="s">
        <v>11</v>
      </c>
      <c r="S34" s="19" t="s">
        <v>23</v>
      </c>
      <c r="T34" s="19">
        <v>15</v>
      </c>
      <c r="U34" s="19" t="s">
        <v>11</v>
      </c>
      <c r="V34" s="19" t="s">
        <v>11</v>
      </c>
      <c r="W34" s="19" t="s">
        <v>11</v>
      </c>
      <c r="X34" s="19">
        <v>0</v>
      </c>
      <c r="Y34" s="19" t="s">
        <v>730</v>
      </c>
      <c r="Z34" s="19">
        <v>0</v>
      </c>
      <c r="AA34" s="19">
        <v>0</v>
      </c>
      <c r="AB34" s="19">
        <v>0</v>
      </c>
      <c r="AC34" s="186" t="str">
        <f>IF(OR(M34="13",M34="14",P34=8),"",IF(     AND(OR(S34="AUTORIZADO", S34="PENDIENTE", S34="REDUCIDO", S34="AMPLIADO"),L34&lt;&gt;"HONORARIO" ), _xlfn.CONCAT(IF(H34="X","H",H34),"_",IF(OR(P34=5,P34=6),_xlfn.CONCAT(P34,"A"),P34),"_",VLOOKUP(T34,Datos!$B$2:$C$5,2,TRUE)),""))</f>
        <v>M_1_[11 +]</v>
      </c>
      <c r="AD34" s="186">
        <f t="shared" si="10"/>
        <v>0</v>
      </c>
      <c r="AE34" s="90" t="str">
        <f t="shared" si="11"/>
        <v>-</v>
      </c>
      <c r="AF34" s="91" t="str">
        <f t="shared" si="12"/>
        <v>071901</v>
      </c>
      <c r="AG34" s="92"/>
      <c r="AH34" s="93" t="str">
        <f t="shared" si="13"/>
        <v>Comité Innova Chile</v>
      </c>
      <c r="AI34" s="90" t="str">
        <f t="shared" si="14"/>
        <v>-</v>
      </c>
      <c r="AJ34" s="90">
        <f t="shared" si="15"/>
        <v>5</v>
      </c>
      <c r="AK34" s="90" t="str">
        <f t="shared" si="16"/>
        <v>-</v>
      </c>
      <c r="AL34" s="90" t="str">
        <f t="shared" si="17"/>
        <v>Identifica este registro como MUJER</v>
      </c>
      <c r="AM34" s="90" t="str">
        <f t="shared" si="18"/>
        <v>-</v>
      </c>
      <c r="AN34" s="90" t="str">
        <f t="shared" si="19"/>
        <v>-</v>
      </c>
      <c r="AO34" s="90" t="str">
        <f t="shared" si="20"/>
        <v>-</v>
      </c>
      <c r="AP34" s="58" t="str">
        <f t="shared" si="21"/>
        <v>-</v>
      </c>
      <c r="AQ34" s="94" t="str">
        <f t="shared" si="22"/>
        <v>-</v>
      </c>
      <c r="AR34" s="94" t="str">
        <f>IF(N34="","PRIMER_DIA en blanco",
IF(AND(M34="01",N34&gt;=L_Conversion!$C$118,N34&lt;=L_Conversion!$D$118),"-",
IF(AND(M34="02",N34&gt;=L_Conversion!$C$119,N34&lt;=L_Conversion!$D$119),"-",
IF(AND(M34="03",N34&gt;=L_Conversion!$C$120,N34&lt;=L_Conversion!$D$120),"-",
IF(AND(M34="04",N34&gt;=L_Conversion!$C$121,N34&lt;=L_Conversion!$D$121),"-",
IF(AND(M34="05",N34&gt;=L_Conversion!$C$122,N34&lt;=L_Conversion!$D$122),"-",
IF(AND(M34="06",N34&gt;=L_Conversion!$C$123,N34&lt;=L_Conversion!$D$123),"-",
IF(AND(M34="07",N34&gt;=L_Conversion!$C$124,N34&lt;=L_Conversion!$D$124),"-",
IF(AND(M34="08",N34&gt;=L_Conversion!$C$125,N34&lt;=L_Conversion!$D$125),"-",
IF(AND(M34="09",N34&gt;=L_Conversion!$C$126,N34&lt;=L_Conversion!$D$126),"-",
IF(AND(M34="10",N34&gt;=L_Conversion!$C$127,N34&lt;=L_Conversion!$D$127),"-",
IF(AND(M34="11",N34&gt;=L_Conversion!$C$128,N34&lt;=L_Conversion!$D$128),"-",
IF(AND(M34="12",N34&gt;=L_Conversion!$C$129,N34&lt;=L_Conversion!$D$129),"-",
IF(AND(M34="13",N34&gt;=L_Conversion!$C$116,N34&lt;=L_Conversion!$D$116),"-",
IF(AND(M34="14",N34&gt;=L_Conversion!$C$117,N34&lt;=L_Conversion!$D$117),"-",
"PRIMER_DIA fuera de rango")))))))))))))))</f>
        <v>-</v>
      </c>
      <c r="AS34" s="94" t="str">
        <f t="shared" si="23"/>
        <v>-</v>
      </c>
      <c r="AT34" s="94" t="str">
        <f t="shared" si="24"/>
        <v>-</v>
      </c>
      <c r="AU34" s="94" t="str">
        <f t="shared" si="25"/>
        <v>-</v>
      </c>
      <c r="AV34" s="94" t="str">
        <f t="shared" si="26"/>
        <v>-</v>
      </c>
      <c r="AW34" s="94" t="str">
        <f t="shared" si="27"/>
        <v>-</v>
      </c>
      <c r="AX34" s="94" t="str">
        <f t="shared" si="28"/>
        <v>-</v>
      </c>
      <c r="AY34" s="94" t="str">
        <f t="shared" si="29"/>
        <v>-</v>
      </c>
      <c r="AZ34" s="94" t="str">
        <f t="shared" si="30"/>
        <v>-</v>
      </c>
      <c r="BA34" s="94" t="str">
        <f t="shared" si="31"/>
        <v>-</v>
      </c>
      <c r="BB34" s="94" t="str">
        <f t="shared" si="32"/>
        <v>-</v>
      </c>
      <c r="BC34" s="94" t="str">
        <f t="shared" si="33"/>
        <v>-</v>
      </c>
      <c r="BD34" s="94" t="str">
        <f t="shared" si="34"/>
        <v>-</v>
      </c>
      <c r="BE34" s="94" t="str">
        <f t="shared" si="35"/>
        <v>-</v>
      </c>
      <c r="BF34" s="94" t="str">
        <f t="shared" si="36"/>
        <v>-</v>
      </c>
      <c r="BG34" s="186" t="str">
        <f>IF(OR(AQ34="13",AQ34="14",AT34=8),"",IF(     AND(OR(AW34="AUTORIZADO", AW34="PENDIENTE", AW34="REDUCIDO", AW34="AMPLIADO"),AP34&lt;&gt;"HONORARIO" ), _xlfn.CONCAT(IF(AL34="X","H",AL34),"_",IF(OR(AT34=5,AT34=6),_xlfn.CONCAT(AT34,"A"),AT34),"_",VLOOKUP(AX34,Datos!$B$2:$C$5,2,TRUE)),""))</f>
        <v/>
      </c>
    </row>
    <row r="35" spans="1:59" x14ac:dyDescent="0.2">
      <c r="A35" s="19" t="s">
        <v>1193</v>
      </c>
      <c r="B35" s="19" t="s">
        <v>81</v>
      </c>
      <c r="C35" s="19">
        <v>14114992</v>
      </c>
      <c r="D35" s="19" t="s">
        <v>1246</v>
      </c>
      <c r="E35" s="19" t="s">
        <v>1252</v>
      </c>
      <c r="F35" s="19" t="s">
        <v>1253</v>
      </c>
      <c r="G35" s="19" t="s">
        <v>1254</v>
      </c>
      <c r="H35" s="19" t="s">
        <v>1018</v>
      </c>
      <c r="I35" s="19" t="s">
        <v>653</v>
      </c>
      <c r="J35" s="19">
        <v>80</v>
      </c>
      <c r="K35" s="19" t="s">
        <v>560</v>
      </c>
      <c r="L35" s="19" t="s">
        <v>495</v>
      </c>
      <c r="M35" s="19" t="s">
        <v>17</v>
      </c>
      <c r="N35" s="19">
        <v>45749</v>
      </c>
      <c r="O35" s="19">
        <v>3</v>
      </c>
      <c r="P35" s="83">
        <v>1</v>
      </c>
      <c r="Q35" s="19" t="s">
        <v>23</v>
      </c>
      <c r="R35" s="19" t="s">
        <v>11</v>
      </c>
      <c r="S35" s="19" t="s">
        <v>23</v>
      </c>
      <c r="T35" s="19">
        <v>3</v>
      </c>
      <c r="U35" s="19" t="s">
        <v>11</v>
      </c>
      <c r="V35" s="19" t="s">
        <v>11</v>
      </c>
      <c r="W35" s="19" t="s">
        <v>11</v>
      </c>
      <c r="X35" s="19">
        <v>0</v>
      </c>
      <c r="Y35" s="19" t="s">
        <v>730</v>
      </c>
      <c r="Z35" s="19">
        <v>0</v>
      </c>
      <c r="AA35" s="19">
        <v>0</v>
      </c>
      <c r="AB35" s="19">
        <v>0</v>
      </c>
      <c r="AC35" s="186" t="str">
        <f>IF(OR(M35="13",M35="14",P35=8),"",IF(     AND(OR(S35="AUTORIZADO", S35="PENDIENTE", S35="REDUCIDO", S35="AMPLIADO"),L35&lt;&gt;"HONORARIO" ), _xlfn.CONCAT(IF(H35="X","H",H35),"_",IF(OR(P35=5,P35=6),_xlfn.CONCAT(P35,"A"),P35),"_",VLOOKUP(T35,Datos!$B$2:$C$5,2,TRUE)),""))</f>
        <v>M_1_[hasta 3]</v>
      </c>
      <c r="AD35" s="186">
        <f t="shared" si="10"/>
        <v>0</v>
      </c>
      <c r="AE35" s="90" t="str">
        <f t="shared" si="11"/>
        <v>-</v>
      </c>
      <c r="AF35" s="91" t="str">
        <f t="shared" si="12"/>
        <v>071901</v>
      </c>
      <c r="AG35" s="92"/>
      <c r="AH35" s="93" t="str">
        <f t="shared" si="13"/>
        <v>Comité Innova Chile</v>
      </c>
      <c r="AI35" s="90" t="str">
        <f t="shared" si="14"/>
        <v>-</v>
      </c>
      <c r="AJ35" s="90" t="str">
        <f t="shared" si="15"/>
        <v>K</v>
      </c>
      <c r="AK35" s="90" t="str">
        <f t="shared" si="16"/>
        <v>-</v>
      </c>
      <c r="AL35" s="90" t="str">
        <f t="shared" si="17"/>
        <v>Identifica este registro como MUJER</v>
      </c>
      <c r="AM35" s="90" t="str">
        <f t="shared" si="18"/>
        <v>-</v>
      </c>
      <c r="AN35" s="90" t="str">
        <f t="shared" si="19"/>
        <v>-</v>
      </c>
      <c r="AO35" s="90" t="str">
        <f t="shared" si="20"/>
        <v>-</v>
      </c>
      <c r="AP35" s="58" t="str">
        <f t="shared" si="21"/>
        <v>-</v>
      </c>
      <c r="AQ35" s="94" t="str">
        <f t="shared" si="22"/>
        <v>-</v>
      </c>
      <c r="AR35" s="94" t="str">
        <f>IF(N35="","PRIMER_DIA en blanco",
IF(AND(M35="01",N35&gt;=L_Conversion!$C$118,N35&lt;=L_Conversion!$D$118),"-",
IF(AND(M35="02",N35&gt;=L_Conversion!$C$119,N35&lt;=L_Conversion!$D$119),"-",
IF(AND(M35="03",N35&gt;=L_Conversion!$C$120,N35&lt;=L_Conversion!$D$120),"-",
IF(AND(M35="04",N35&gt;=L_Conversion!$C$121,N35&lt;=L_Conversion!$D$121),"-",
IF(AND(M35="05",N35&gt;=L_Conversion!$C$122,N35&lt;=L_Conversion!$D$122),"-",
IF(AND(M35="06",N35&gt;=L_Conversion!$C$123,N35&lt;=L_Conversion!$D$123),"-",
IF(AND(M35="07",N35&gt;=L_Conversion!$C$124,N35&lt;=L_Conversion!$D$124),"-",
IF(AND(M35="08",N35&gt;=L_Conversion!$C$125,N35&lt;=L_Conversion!$D$125),"-",
IF(AND(M35="09",N35&gt;=L_Conversion!$C$126,N35&lt;=L_Conversion!$D$126),"-",
IF(AND(M35="10",N35&gt;=L_Conversion!$C$127,N35&lt;=L_Conversion!$D$127),"-",
IF(AND(M35="11",N35&gt;=L_Conversion!$C$128,N35&lt;=L_Conversion!$D$128),"-",
IF(AND(M35="12",N35&gt;=L_Conversion!$C$129,N35&lt;=L_Conversion!$D$129),"-",
IF(AND(M35="13",N35&gt;=L_Conversion!$C$116,N35&lt;=L_Conversion!$D$116),"-",
IF(AND(M35="14",N35&gt;=L_Conversion!$C$117,N35&lt;=L_Conversion!$D$117),"-",
"PRIMER_DIA fuera de rango")))))))))))))))</f>
        <v>-</v>
      </c>
      <c r="AS35" s="94" t="str">
        <f t="shared" si="23"/>
        <v>-</v>
      </c>
      <c r="AT35" s="94" t="str">
        <f t="shared" si="24"/>
        <v>-</v>
      </c>
      <c r="AU35" s="94" t="str">
        <f t="shared" si="25"/>
        <v>-</v>
      </c>
      <c r="AV35" s="94" t="str">
        <f t="shared" si="26"/>
        <v>-</v>
      </c>
      <c r="AW35" s="94" t="str">
        <f t="shared" si="27"/>
        <v>-</v>
      </c>
      <c r="AX35" s="94" t="str">
        <f t="shared" si="28"/>
        <v>-</v>
      </c>
      <c r="AY35" s="94" t="str">
        <f t="shared" si="29"/>
        <v>-</v>
      </c>
      <c r="AZ35" s="94" t="str">
        <f t="shared" si="30"/>
        <v>-</v>
      </c>
      <c r="BA35" s="94" t="str">
        <f t="shared" si="31"/>
        <v>-</v>
      </c>
      <c r="BB35" s="94" t="str">
        <f t="shared" si="32"/>
        <v>-</v>
      </c>
      <c r="BC35" s="94" t="str">
        <f t="shared" si="33"/>
        <v>-</v>
      </c>
      <c r="BD35" s="94" t="str">
        <f t="shared" si="34"/>
        <v>-</v>
      </c>
      <c r="BE35" s="94" t="str">
        <f t="shared" si="35"/>
        <v>-</v>
      </c>
      <c r="BF35" s="94" t="str">
        <f t="shared" si="36"/>
        <v>-</v>
      </c>
      <c r="BG35" s="186" t="str">
        <f>IF(OR(AQ35="13",AQ35="14",AT35=8),"",IF(     AND(OR(AW35="AUTORIZADO", AW35="PENDIENTE", AW35="REDUCIDO", AW35="AMPLIADO"),AP35&lt;&gt;"HONORARIO" ), _xlfn.CONCAT(IF(AL35="X","H",AL35),"_",IF(OR(AT35=5,AT35=6),_xlfn.CONCAT(AT35,"A"),AT35),"_",VLOOKUP(AX35,Datos!$B$2:$C$5,2,TRUE)),""))</f>
        <v/>
      </c>
    </row>
    <row r="36" spans="1:59" x14ac:dyDescent="0.2">
      <c r="A36" s="19" t="s">
        <v>1193</v>
      </c>
      <c r="B36" s="19" t="s">
        <v>81</v>
      </c>
      <c r="C36" s="19">
        <v>17789196</v>
      </c>
      <c r="D36" s="19">
        <v>7</v>
      </c>
      <c r="E36" s="19" t="s">
        <v>1255</v>
      </c>
      <c r="F36" s="19" t="s">
        <v>1256</v>
      </c>
      <c r="G36" s="19" t="s">
        <v>1257</v>
      </c>
      <c r="H36" s="19" t="s">
        <v>654</v>
      </c>
      <c r="I36" s="19" t="s">
        <v>655</v>
      </c>
      <c r="J36" s="19">
        <v>80</v>
      </c>
      <c r="K36" s="19" t="s">
        <v>556</v>
      </c>
      <c r="L36" s="19" t="s">
        <v>495</v>
      </c>
      <c r="M36" s="19" t="s">
        <v>17</v>
      </c>
      <c r="N36" s="19">
        <v>45749</v>
      </c>
      <c r="O36" s="19">
        <v>2</v>
      </c>
      <c r="P36" s="83">
        <v>1</v>
      </c>
      <c r="Q36" s="19" t="s">
        <v>23</v>
      </c>
      <c r="R36" s="19" t="s">
        <v>11</v>
      </c>
      <c r="S36" s="19" t="s">
        <v>23</v>
      </c>
      <c r="T36" s="19">
        <v>2</v>
      </c>
      <c r="U36" s="19" t="s">
        <v>11</v>
      </c>
      <c r="V36" s="19" t="s">
        <v>11</v>
      </c>
      <c r="W36" s="19" t="s">
        <v>11</v>
      </c>
      <c r="X36" s="19">
        <v>0</v>
      </c>
      <c r="Y36" s="19" t="s">
        <v>730</v>
      </c>
      <c r="Z36" s="19">
        <v>0</v>
      </c>
      <c r="AA36" s="19">
        <v>0</v>
      </c>
      <c r="AB36" s="19">
        <v>0</v>
      </c>
      <c r="AC36" s="186" t="str">
        <f>IF(OR(M36="13",M36="14",P36=8),"",IF(     AND(OR(S36="AUTORIZADO", S36="PENDIENTE", S36="REDUCIDO", S36="AMPLIADO"),L36&lt;&gt;"HONORARIO" ), _xlfn.CONCAT(IF(H36="X","H",H36),"_",IF(OR(P36=5,P36=6),_xlfn.CONCAT(P36,"A"),P36),"_",VLOOKUP(T36,Datos!$B$2:$C$5,2,TRUE)),""))</f>
        <v>H_1_[hasta 3]</v>
      </c>
      <c r="AD36" s="186">
        <f t="shared" si="10"/>
        <v>0</v>
      </c>
      <c r="AE36" s="90" t="str">
        <f t="shared" si="11"/>
        <v>-</v>
      </c>
      <c r="AF36" s="91" t="str">
        <f t="shared" si="12"/>
        <v>071901</v>
      </c>
      <c r="AG36" s="92"/>
      <c r="AH36" s="93" t="str">
        <f t="shared" si="13"/>
        <v>Comité Innova Chile</v>
      </c>
      <c r="AI36" s="90" t="str">
        <f t="shared" si="14"/>
        <v>-</v>
      </c>
      <c r="AJ36" s="90">
        <f t="shared" si="15"/>
        <v>7</v>
      </c>
      <c r="AK36" s="90" t="str">
        <f t="shared" si="16"/>
        <v>-</v>
      </c>
      <c r="AL36" s="90" t="str">
        <f t="shared" si="17"/>
        <v>Identifica este registro como HOMBRE</v>
      </c>
      <c r="AM36" s="90" t="str">
        <f t="shared" si="18"/>
        <v>-</v>
      </c>
      <c r="AN36" s="90" t="str">
        <f t="shared" si="19"/>
        <v>-</v>
      </c>
      <c r="AO36" s="90" t="str">
        <f t="shared" si="20"/>
        <v>-</v>
      </c>
      <c r="AP36" s="58" t="str">
        <f t="shared" si="21"/>
        <v>-</v>
      </c>
      <c r="AQ36" s="94" t="str">
        <f t="shared" si="22"/>
        <v>-</v>
      </c>
      <c r="AR36" s="94" t="str">
        <f>IF(N36="","PRIMER_DIA en blanco",
IF(AND(M36="01",N36&gt;=L_Conversion!$C$118,N36&lt;=L_Conversion!$D$118),"-",
IF(AND(M36="02",N36&gt;=L_Conversion!$C$119,N36&lt;=L_Conversion!$D$119),"-",
IF(AND(M36="03",N36&gt;=L_Conversion!$C$120,N36&lt;=L_Conversion!$D$120),"-",
IF(AND(M36="04",N36&gt;=L_Conversion!$C$121,N36&lt;=L_Conversion!$D$121),"-",
IF(AND(M36="05",N36&gt;=L_Conversion!$C$122,N36&lt;=L_Conversion!$D$122),"-",
IF(AND(M36="06",N36&gt;=L_Conversion!$C$123,N36&lt;=L_Conversion!$D$123),"-",
IF(AND(M36="07",N36&gt;=L_Conversion!$C$124,N36&lt;=L_Conversion!$D$124),"-",
IF(AND(M36="08",N36&gt;=L_Conversion!$C$125,N36&lt;=L_Conversion!$D$125),"-",
IF(AND(M36="09",N36&gt;=L_Conversion!$C$126,N36&lt;=L_Conversion!$D$126),"-",
IF(AND(M36="10",N36&gt;=L_Conversion!$C$127,N36&lt;=L_Conversion!$D$127),"-",
IF(AND(M36="11",N36&gt;=L_Conversion!$C$128,N36&lt;=L_Conversion!$D$128),"-",
IF(AND(M36="12",N36&gt;=L_Conversion!$C$129,N36&lt;=L_Conversion!$D$129),"-",
IF(AND(M36="13",N36&gt;=L_Conversion!$C$116,N36&lt;=L_Conversion!$D$116),"-",
IF(AND(M36="14",N36&gt;=L_Conversion!$C$117,N36&lt;=L_Conversion!$D$117),"-",
"PRIMER_DIA fuera de rango")))))))))))))))</f>
        <v>-</v>
      </c>
      <c r="AS36" s="94" t="str">
        <f t="shared" si="23"/>
        <v>-</v>
      </c>
      <c r="AT36" s="94" t="str">
        <f t="shared" si="24"/>
        <v>-</v>
      </c>
      <c r="AU36" s="94" t="str">
        <f t="shared" si="25"/>
        <v>-</v>
      </c>
      <c r="AV36" s="94" t="str">
        <f t="shared" si="26"/>
        <v>-</v>
      </c>
      <c r="AW36" s="94" t="str">
        <f t="shared" si="27"/>
        <v>-</v>
      </c>
      <c r="AX36" s="94" t="str">
        <f t="shared" si="28"/>
        <v>-</v>
      </c>
      <c r="AY36" s="94" t="str">
        <f t="shared" si="29"/>
        <v>-</v>
      </c>
      <c r="AZ36" s="94" t="str">
        <f t="shared" si="30"/>
        <v>-</v>
      </c>
      <c r="BA36" s="94" t="str">
        <f t="shared" si="31"/>
        <v>-</v>
      </c>
      <c r="BB36" s="94" t="str">
        <f t="shared" si="32"/>
        <v>-</v>
      </c>
      <c r="BC36" s="94" t="str">
        <f t="shared" si="33"/>
        <v>-</v>
      </c>
      <c r="BD36" s="94" t="str">
        <f t="shared" si="34"/>
        <v>-</v>
      </c>
      <c r="BE36" s="94" t="str">
        <f t="shared" si="35"/>
        <v>-</v>
      </c>
      <c r="BF36" s="94" t="str">
        <f t="shared" si="36"/>
        <v>-</v>
      </c>
      <c r="BG36" s="186" t="str">
        <f>IF(OR(AQ36="13",AQ36="14",AT36=8),"",IF(     AND(OR(AW36="AUTORIZADO", AW36="PENDIENTE", AW36="REDUCIDO", AW36="AMPLIADO"),AP36&lt;&gt;"HONORARIO" ), _xlfn.CONCAT(IF(AL36="X","H",AL36),"_",IF(OR(AT36=5,AT36=6),_xlfn.CONCAT(AT36,"A"),AT36),"_",VLOOKUP(AX36,Datos!$B$2:$C$5,2,TRUE)),""))</f>
        <v/>
      </c>
    </row>
    <row r="37" spans="1:59" x14ac:dyDescent="0.2">
      <c r="A37" s="19" t="s">
        <v>1193</v>
      </c>
      <c r="B37" s="19" t="s">
        <v>81</v>
      </c>
      <c r="C37" s="19">
        <v>10667993</v>
      </c>
      <c r="D37" s="19">
        <v>2</v>
      </c>
      <c r="E37" s="19" t="s">
        <v>1197</v>
      </c>
      <c r="F37" s="19" t="s">
        <v>1198</v>
      </c>
      <c r="G37" s="19" t="s">
        <v>1199</v>
      </c>
      <c r="H37" s="19" t="s">
        <v>1018</v>
      </c>
      <c r="I37" s="19" t="s">
        <v>653</v>
      </c>
      <c r="J37" s="19">
        <v>80</v>
      </c>
      <c r="K37" s="19" t="s">
        <v>560</v>
      </c>
      <c r="L37" s="19" t="s">
        <v>495</v>
      </c>
      <c r="M37" s="19" t="s">
        <v>17</v>
      </c>
      <c r="N37" s="19">
        <v>45754</v>
      </c>
      <c r="O37" s="19">
        <v>14</v>
      </c>
      <c r="P37" s="83">
        <v>1</v>
      </c>
      <c r="Q37" s="19" t="s">
        <v>23</v>
      </c>
      <c r="R37" s="19" t="s">
        <v>11</v>
      </c>
      <c r="S37" s="19" t="s">
        <v>23</v>
      </c>
      <c r="T37" s="19">
        <v>14</v>
      </c>
      <c r="U37" s="19" t="s">
        <v>11</v>
      </c>
      <c r="V37" s="19" t="s">
        <v>11</v>
      </c>
      <c r="W37" s="19" t="s">
        <v>11</v>
      </c>
      <c r="X37" s="19">
        <v>0</v>
      </c>
      <c r="Y37" s="19" t="s">
        <v>730</v>
      </c>
      <c r="Z37" s="19">
        <v>0</v>
      </c>
      <c r="AA37" s="19">
        <v>0</v>
      </c>
      <c r="AB37" s="19">
        <v>0</v>
      </c>
      <c r="AC37" s="186" t="str">
        <f>IF(OR(M37="13",M37="14",P37=8),"",IF(     AND(OR(S37="AUTORIZADO", S37="PENDIENTE", S37="REDUCIDO", S37="AMPLIADO"),L37&lt;&gt;"HONORARIO" ), _xlfn.CONCAT(IF(H37="X","H",H37),"_",IF(OR(P37=5,P37=6),_xlfn.CONCAT(P37,"A"),P37),"_",VLOOKUP(T37,Datos!$B$2:$C$5,2,TRUE)),""))</f>
        <v>M_1_[11 +]</v>
      </c>
      <c r="AD37" s="186">
        <f t="shared" si="10"/>
        <v>0</v>
      </c>
      <c r="AE37" s="90" t="str">
        <f t="shared" si="11"/>
        <v>-</v>
      </c>
      <c r="AF37" s="91" t="str">
        <f t="shared" si="12"/>
        <v>071901</v>
      </c>
      <c r="AG37" s="92"/>
      <c r="AH37" s="93" t="str">
        <f t="shared" si="13"/>
        <v>Comité Innova Chile</v>
      </c>
      <c r="AI37" s="90" t="str">
        <f t="shared" si="14"/>
        <v>-</v>
      </c>
      <c r="AJ37" s="90">
        <f t="shared" si="15"/>
        <v>2</v>
      </c>
      <c r="AK37" s="90" t="str">
        <f t="shared" si="16"/>
        <v>-</v>
      </c>
      <c r="AL37" s="90" t="str">
        <f t="shared" si="17"/>
        <v>Identifica este registro como MUJER</v>
      </c>
      <c r="AM37" s="90" t="str">
        <f t="shared" si="18"/>
        <v>-</v>
      </c>
      <c r="AN37" s="90" t="str">
        <f t="shared" si="19"/>
        <v>-</v>
      </c>
      <c r="AO37" s="90" t="str">
        <f t="shared" si="20"/>
        <v>-</v>
      </c>
      <c r="AP37" s="58" t="str">
        <f t="shared" si="21"/>
        <v>-</v>
      </c>
      <c r="AQ37" s="94" t="str">
        <f t="shared" si="22"/>
        <v>-</v>
      </c>
      <c r="AR37" s="94" t="str">
        <f>IF(N37="","PRIMER_DIA en blanco",
IF(AND(M37="01",N37&gt;=L_Conversion!$C$118,N37&lt;=L_Conversion!$D$118),"-",
IF(AND(M37="02",N37&gt;=L_Conversion!$C$119,N37&lt;=L_Conversion!$D$119),"-",
IF(AND(M37="03",N37&gt;=L_Conversion!$C$120,N37&lt;=L_Conversion!$D$120),"-",
IF(AND(M37="04",N37&gt;=L_Conversion!$C$121,N37&lt;=L_Conversion!$D$121),"-",
IF(AND(M37="05",N37&gt;=L_Conversion!$C$122,N37&lt;=L_Conversion!$D$122),"-",
IF(AND(M37="06",N37&gt;=L_Conversion!$C$123,N37&lt;=L_Conversion!$D$123),"-",
IF(AND(M37="07",N37&gt;=L_Conversion!$C$124,N37&lt;=L_Conversion!$D$124),"-",
IF(AND(M37="08",N37&gt;=L_Conversion!$C$125,N37&lt;=L_Conversion!$D$125),"-",
IF(AND(M37="09",N37&gt;=L_Conversion!$C$126,N37&lt;=L_Conversion!$D$126),"-",
IF(AND(M37="10",N37&gt;=L_Conversion!$C$127,N37&lt;=L_Conversion!$D$127),"-",
IF(AND(M37="11",N37&gt;=L_Conversion!$C$128,N37&lt;=L_Conversion!$D$128),"-",
IF(AND(M37="12",N37&gt;=L_Conversion!$C$129,N37&lt;=L_Conversion!$D$129),"-",
IF(AND(M37="13",N37&gt;=L_Conversion!$C$116,N37&lt;=L_Conversion!$D$116),"-",
IF(AND(M37="14",N37&gt;=L_Conversion!$C$117,N37&lt;=L_Conversion!$D$117),"-",
"PRIMER_DIA fuera de rango")))))))))))))))</f>
        <v>-</v>
      </c>
      <c r="AS37" s="94" t="str">
        <f t="shared" si="23"/>
        <v>-</v>
      </c>
      <c r="AT37" s="94" t="str">
        <f t="shared" si="24"/>
        <v>-</v>
      </c>
      <c r="AU37" s="94" t="str">
        <f t="shared" si="25"/>
        <v>-</v>
      </c>
      <c r="AV37" s="94" t="str">
        <f t="shared" si="26"/>
        <v>-</v>
      </c>
      <c r="AW37" s="94" t="str">
        <f t="shared" si="27"/>
        <v>-</v>
      </c>
      <c r="AX37" s="94" t="str">
        <f t="shared" si="28"/>
        <v>-</v>
      </c>
      <c r="AY37" s="94" t="str">
        <f t="shared" si="29"/>
        <v>-</v>
      </c>
      <c r="AZ37" s="94" t="str">
        <f t="shared" si="30"/>
        <v>-</v>
      </c>
      <c r="BA37" s="94" t="str">
        <f t="shared" si="31"/>
        <v>-</v>
      </c>
      <c r="BB37" s="94" t="str">
        <f t="shared" si="32"/>
        <v>-</v>
      </c>
      <c r="BC37" s="94" t="str">
        <f t="shared" si="33"/>
        <v>-</v>
      </c>
      <c r="BD37" s="94" t="str">
        <f t="shared" si="34"/>
        <v>-</v>
      </c>
      <c r="BE37" s="94" t="str">
        <f t="shared" si="35"/>
        <v>-</v>
      </c>
      <c r="BF37" s="94" t="str">
        <f t="shared" si="36"/>
        <v>-</v>
      </c>
      <c r="BG37" s="186" t="str">
        <f>IF(OR(AQ37="13",AQ37="14",AT37=8),"",IF(     AND(OR(AW37="AUTORIZADO", AW37="PENDIENTE", AW37="REDUCIDO", AW37="AMPLIADO"),AP37&lt;&gt;"HONORARIO" ), _xlfn.CONCAT(IF(AL37="X","H",AL37),"_",IF(OR(AT37=5,AT37=6),_xlfn.CONCAT(AT37,"A"),AT37),"_",VLOOKUP(AX37,Datos!$B$2:$C$5,2,TRUE)),""))</f>
        <v/>
      </c>
    </row>
    <row r="38" spans="1:59" x14ac:dyDescent="0.2">
      <c r="A38" s="19" t="s">
        <v>1193</v>
      </c>
      <c r="B38" s="19" t="s">
        <v>81</v>
      </c>
      <c r="C38" s="19">
        <v>17413900</v>
      </c>
      <c r="D38" s="19">
        <v>8</v>
      </c>
      <c r="E38" s="19" t="s">
        <v>1220</v>
      </c>
      <c r="F38" s="19" t="s">
        <v>1221</v>
      </c>
      <c r="G38" s="19" t="s">
        <v>1222</v>
      </c>
      <c r="H38" s="19" t="s">
        <v>1018</v>
      </c>
      <c r="I38" s="19" t="s">
        <v>655</v>
      </c>
      <c r="J38" s="19">
        <v>80</v>
      </c>
      <c r="K38" s="19" t="s">
        <v>556</v>
      </c>
      <c r="L38" s="19" t="s">
        <v>495</v>
      </c>
      <c r="M38" s="19" t="s">
        <v>17</v>
      </c>
      <c r="N38" s="19">
        <v>45754</v>
      </c>
      <c r="O38" s="19">
        <v>21</v>
      </c>
      <c r="P38" s="83">
        <v>1</v>
      </c>
      <c r="Q38" s="19" t="s">
        <v>23</v>
      </c>
      <c r="R38" s="19" t="s">
        <v>11</v>
      </c>
      <c r="S38" s="19" t="s">
        <v>23</v>
      </c>
      <c r="T38" s="19">
        <v>21</v>
      </c>
      <c r="U38" s="19" t="s">
        <v>11</v>
      </c>
      <c r="V38" s="19" t="s">
        <v>11</v>
      </c>
      <c r="W38" s="19" t="s">
        <v>11</v>
      </c>
      <c r="X38" s="19">
        <v>0</v>
      </c>
      <c r="Y38" s="19" t="s">
        <v>730</v>
      </c>
      <c r="Z38" s="19">
        <v>0</v>
      </c>
      <c r="AA38" s="19">
        <v>0</v>
      </c>
      <c r="AB38" s="19">
        <v>0</v>
      </c>
      <c r="AC38" s="186" t="str">
        <f>IF(OR(M38="13",M38="14",P38=8),"",IF(     AND(OR(S38="AUTORIZADO", S38="PENDIENTE", S38="REDUCIDO", S38="AMPLIADO"),L38&lt;&gt;"HONORARIO" ), _xlfn.CONCAT(IF(H38="X","H",H38),"_",IF(OR(P38=5,P38=6),_xlfn.CONCAT(P38,"A"),P38),"_",VLOOKUP(T38,Datos!$B$2:$C$5,2,TRUE)),""))</f>
        <v>M_1_[11 +]</v>
      </c>
      <c r="AD38" s="186">
        <f t="shared" si="10"/>
        <v>0</v>
      </c>
      <c r="AE38" s="90" t="str">
        <f t="shared" si="11"/>
        <v>-</v>
      </c>
      <c r="AF38" s="91" t="str">
        <f t="shared" si="12"/>
        <v>071901</v>
      </c>
      <c r="AG38" s="92"/>
      <c r="AH38" s="93" t="str">
        <f t="shared" si="13"/>
        <v>Comité Innova Chile</v>
      </c>
      <c r="AI38" s="90" t="str">
        <f t="shared" si="14"/>
        <v>-</v>
      </c>
      <c r="AJ38" s="90">
        <f t="shared" si="15"/>
        <v>8</v>
      </c>
      <c r="AK38" s="90" t="str">
        <f t="shared" si="16"/>
        <v>-</v>
      </c>
      <c r="AL38" s="90" t="str">
        <f t="shared" si="17"/>
        <v>Identifica este registro como MUJER</v>
      </c>
      <c r="AM38" s="90" t="str">
        <f t="shared" si="18"/>
        <v>-</v>
      </c>
      <c r="AN38" s="90" t="str">
        <f t="shared" si="19"/>
        <v>-</v>
      </c>
      <c r="AO38" s="90" t="str">
        <f t="shared" si="20"/>
        <v>-</v>
      </c>
      <c r="AP38" s="58" t="str">
        <f t="shared" si="21"/>
        <v>-</v>
      </c>
      <c r="AQ38" s="94" t="str">
        <f t="shared" si="22"/>
        <v>-</v>
      </c>
      <c r="AR38" s="94" t="str">
        <f>IF(N38="","PRIMER_DIA en blanco",
IF(AND(M38="01",N38&gt;=L_Conversion!$C$118,N38&lt;=L_Conversion!$D$118),"-",
IF(AND(M38="02",N38&gt;=L_Conversion!$C$119,N38&lt;=L_Conversion!$D$119),"-",
IF(AND(M38="03",N38&gt;=L_Conversion!$C$120,N38&lt;=L_Conversion!$D$120),"-",
IF(AND(M38="04",N38&gt;=L_Conversion!$C$121,N38&lt;=L_Conversion!$D$121),"-",
IF(AND(M38="05",N38&gt;=L_Conversion!$C$122,N38&lt;=L_Conversion!$D$122),"-",
IF(AND(M38="06",N38&gt;=L_Conversion!$C$123,N38&lt;=L_Conversion!$D$123),"-",
IF(AND(M38="07",N38&gt;=L_Conversion!$C$124,N38&lt;=L_Conversion!$D$124),"-",
IF(AND(M38="08",N38&gt;=L_Conversion!$C$125,N38&lt;=L_Conversion!$D$125),"-",
IF(AND(M38="09",N38&gt;=L_Conversion!$C$126,N38&lt;=L_Conversion!$D$126),"-",
IF(AND(M38="10",N38&gt;=L_Conversion!$C$127,N38&lt;=L_Conversion!$D$127),"-",
IF(AND(M38="11",N38&gt;=L_Conversion!$C$128,N38&lt;=L_Conversion!$D$128),"-",
IF(AND(M38="12",N38&gt;=L_Conversion!$C$129,N38&lt;=L_Conversion!$D$129),"-",
IF(AND(M38="13",N38&gt;=L_Conversion!$C$116,N38&lt;=L_Conversion!$D$116),"-",
IF(AND(M38="14",N38&gt;=L_Conversion!$C$117,N38&lt;=L_Conversion!$D$117),"-",
"PRIMER_DIA fuera de rango")))))))))))))))</f>
        <v>-</v>
      </c>
      <c r="AS38" s="94" t="str">
        <f t="shared" si="23"/>
        <v>-</v>
      </c>
      <c r="AT38" s="94" t="str">
        <f t="shared" si="24"/>
        <v>-</v>
      </c>
      <c r="AU38" s="94" t="str">
        <f t="shared" si="25"/>
        <v>-</v>
      </c>
      <c r="AV38" s="94" t="str">
        <f t="shared" si="26"/>
        <v>-</v>
      </c>
      <c r="AW38" s="94" t="str">
        <f t="shared" si="27"/>
        <v>-</v>
      </c>
      <c r="AX38" s="94" t="str">
        <f t="shared" si="28"/>
        <v>-</v>
      </c>
      <c r="AY38" s="94" t="str">
        <f t="shared" si="29"/>
        <v>-</v>
      </c>
      <c r="AZ38" s="94" t="str">
        <f t="shared" si="30"/>
        <v>-</v>
      </c>
      <c r="BA38" s="94" t="str">
        <f t="shared" si="31"/>
        <v>-</v>
      </c>
      <c r="BB38" s="94" t="str">
        <f t="shared" si="32"/>
        <v>-</v>
      </c>
      <c r="BC38" s="94" t="str">
        <f t="shared" si="33"/>
        <v>-</v>
      </c>
      <c r="BD38" s="94" t="str">
        <f t="shared" si="34"/>
        <v>-</v>
      </c>
      <c r="BE38" s="94" t="str">
        <f t="shared" si="35"/>
        <v>-</v>
      </c>
      <c r="BF38" s="94" t="str">
        <f t="shared" si="36"/>
        <v>-</v>
      </c>
      <c r="BG38" s="186" t="str">
        <f>IF(OR(AQ38="13",AQ38="14",AT38=8),"",IF(     AND(OR(AW38="AUTORIZADO", AW38="PENDIENTE", AW38="REDUCIDO", AW38="AMPLIADO"),AP38&lt;&gt;"HONORARIO" ), _xlfn.CONCAT(IF(AL38="X","H",AL38),"_",IF(OR(AT38=5,AT38=6),_xlfn.CONCAT(AT38,"A"),AT38),"_",VLOOKUP(AX38,Datos!$B$2:$C$5,2,TRUE)),""))</f>
        <v/>
      </c>
    </row>
    <row r="39" spans="1:59" x14ac:dyDescent="0.2">
      <c r="A39" s="19" t="s">
        <v>1193</v>
      </c>
      <c r="B39" s="19" t="s">
        <v>81</v>
      </c>
      <c r="C39" s="19">
        <v>20191395</v>
      </c>
      <c r="D39" s="19">
        <v>0</v>
      </c>
      <c r="E39" s="19" t="s">
        <v>1258</v>
      </c>
      <c r="F39" s="19" t="s">
        <v>1259</v>
      </c>
      <c r="G39" s="19" t="s">
        <v>1260</v>
      </c>
      <c r="H39" s="19" t="s">
        <v>654</v>
      </c>
      <c r="I39" s="19" t="s">
        <v>653</v>
      </c>
      <c r="J39" s="19">
        <v>80</v>
      </c>
      <c r="K39" s="19" t="s">
        <v>556</v>
      </c>
      <c r="L39" s="19" t="s">
        <v>495</v>
      </c>
      <c r="M39" s="19" t="s">
        <v>17</v>
      </c>
      <c r="N39" s="19">
        <v>45761</v>
      </c>
      <c r="O39" s="19">
        <v>4</v>
      </c>
      <c r="P39" s="83">
        <v>1</v>
      </c>
      <c r="Q39" s="19" t="s">
        <v>23</v>
      </c>
      <c r="R39" s="19" t="s">
        <v>11</v>
      </c>
      <c r="S39" s="19" t="s">
        <v>23</v>
      </c>
      <c r="T39" s="19">
        <v>4</v>
      </c>
      <c r="U39" s="19" t="s">
        <v>11</v>
      </c>
      <c r="V39" s="19" t="s">
        <v>11</v>
      </c>
      <c r="W39" s="19" t="s">
        <v>11</v>
      </c>
      <c r="X39" s="19">
        <v>0</v>
      </c>
      <c r="Y39" s="19" t="s">
        <v>730</v>
      </c>
      <c r="Z39" s="19">
        <v>0</v>
      </c>
      <c r="AA39" s="19">
        <v>0</v>
      </c>
      <c r="AB39" s="19">
        <v>0</v>
      </c>
      <c r="AC39" s="186" t="str">
        <f>IF(OR(M39="13",M39="14",P39=8),"",IF(     AND(OR(S39="AUTORIZADO", S39="PENDIENTE", S39="REDUCIDO", S39="AMPLIADO"),L39&lt;&gt;"HONORARIO" ), _xlfn.CONCAT(IF(H39="X","H",H39),"_",IF(OR(P39=5,P39=6),_xlfn.CONCAT(P39,"A"),P39),"_",VLOOKUP(T39,Datos!$B$2:$C$5,2,TRUE)),""))</f>
        <v>H_1_[4 a 10]</v>
      </c>
      <c r="AD39" s="186">
        <f t="shared" si="10"/>
        <v>0</v>
      </c>
      <c r="AE39" s="90" t="str">
        <f t="shared" si="11"/>
        <v>-</v>
      </c>
      <c r="AF39" s="91" t="str">
        <f t="shared" si="12"/>
        <v>071901</v>
      </c>
      <c r="AG39" s="92"/>
      <c r="AH39" s="93" t="str">
        <f t="shared" si="13"/>
        <v>Comité Innova Chile</v>
      </c>
      <c r="AI39" s="90" t="str">
        <f t="shared" si="14"/>
        <v>-</v>
      </c>
      <c r="AJ39" s="90">
        <f t="shared" si="15"/>
        <v>0</v>
      </c>
      <c r="AK39" s="90" t="str">
        <f t="shared" si="16"/>
        <v>-</v>
      </c>
      <c r="AL39" s="90" t="str">
        <f t="shared" si="17"/>
        <v>Identifica este registro como HOMBRE</v>
      </c>
      <c r="AM39" s="90" t="str">
        <f t="shared" si="18"/>
        <v>-</v>
      </c>
      <c r="AN39" s="90" t="str">
        <f t="shared" si="19"/>
        <v>-</v>
      </c>
      <c r="AO39" s="90" t="str">
        <f t="shared" si="20"/>
        <v>-</v>
      </c>
      <c r="AP39" s="58" t="str">
        <f t="shared" si="21"/>
        <v>-</v>
      </c>
      <c r="AQ39" s="94" t="str">
        <f t="shared" si="22"/>
        <v>-</v>
      </c>
      <c r="AR39" s="94" t="str">
        <f>IF(N39="","PRIMER_DIA en blanco",
IF(AND(M39="01",N39&gt;=L_Conversion!$C$118,N39&lt;=L_Conversion!$D$118),"-",
IF(AND(M39="02",N39&gt;=L_Conversion!$C$119,N39&lt;=L_Conversion!$D$119),"-",
IF(AND(M39="03",N39&gt;=L_Conversion!$C$120,N39&lt;=L_Conversion!$D$120),"-",
IF(AND(M39="04",N39&gt;=L_Conversion!$C$121,N39&lt;=L_Conversion!$D$121),"-",
IF(AND(M39="05",N39&gt;=L_Conversion!$C$122,N39&lt;=L_Conversion!$D$122),"-",
IF(AND(M39="06",N39&gt;=L_Conversion!$C$123,N39&lt;=L_Conversion!$D$123),"-",
IF(AND(M39="07",N39&gt;=L_Conversion!$C$124,N39&lt;=L_Conversion!$D$124),"-",
IF(AND(M39="08",N39&gt;=L_Conversion!$C$125,N39&lt;=L_Conversion!$D$125),"-",
IF(AND(M39="09",N39&gt;=L_Conversion!$C$126,N39&lt;=L_Conversion!$D$126),"-",
IF(AND(M39="10",N39&gt;=L_Conversion!$C$127,N39&lt;=L_Conversion!$D$127),"-",
IF(AND(M39="11",N39&gt;=L_Conversion!$C$128,N39&lt;=L_Conversion!$D$128),"-",
IF(AND(M39="12",N39&gt;=L_Conversion!$C$129,N39&lt;=L_Conversion!$D$129),"-",
IF(AND(M39="13",N39&gt;=L_Conversion!$C$116,N39&lt;=L_Conversion!$D$116),"-",
IF(AND(M39="14",N39&gt;=L_Conversion!$C$117,N39&lt;=L_Conversion!$D$117),"-",
"PRIMER_DIA fuera de rango")))))))))))))))</f>
        <v>-</v>
      </c>
      <c r="AS39" s="94" t="str">
        <f t="shared" si="23"/>
        <v>-</v>
      </c>
      <c r="AT39" s="94" t="str">
        <f t="shared" si="24"/>
        <v>-</v>
      </c>
      <c r="AU39" s="94" t="str">
        <f t="shared" si="25"/>
        <v>-</v>
      </c>
      <c r="AV39" s="94" t="str">
        <f t="shared" si="26"/>
        <v>-</v>
      </c>
      <c r="AW39" s="94" t="str">
        <f t="shared" si="27"/>
        <v>-</v>
      </c>
      <c r="AX39" s="94" t="str">
        <f t="shared" si="28"/>
        <v>-</v>
      </c>
      <c r="AY39" s="94" t="str">
        <f t="shared" si="29"/>
        <v>-</v>
      </c>
      <c r="AZ39" s="94" t="str">
        <f t="shared" si="30"/>
        <v>-</v>
      </c>
      <c r="BA39" s="94" t="str">
        <f t="shared" si="31"/>
        <v>-</v>
      </c>
      <c r="BB39" s="94" t="str">
        <f t="shared" si="32"/>
        <v>-</v>
      </c>
      <c r="BC39" s="94" t="str">
        <f t="shared" si="33"/>
        <v>-</v>
      </c>
      <c r="BD39" s="94" t="str">
        <f t="shared" si="34"/>
        <v>-</v>
      </c>
      <c r="BE39" s="94" t="str">
        <f t="shared" si="35"/>
        <v>-</v>
      </c>
      <c r="BF39" s="94" t="str">
        <f t="shared" si="36"/>
        <v>-</v>
      </c>
      <c r="BG39" s="186" t="str">
        <f>IF(OR(AQ39="13",AQ39="14",AT39=8),"",IF(     AND(OR(AW39="AUTORIZADO", AW39="PENDIENTE", AW39="REDUCIDO", AW39="AMPLIADO"),AP39&lt;&gt;"HONORARIO" ), _xlfn.CONCAT(IF(AL39="X","H",AL39),"_",IF(OR(AT39=5,AT39=6),_xlfn.CONCAT(AT39,"A"),AT39),"_",VLOOKUP(AX39,Datos!$B$2:$C$5,2,TRUE)),""))</f>
        <v/>
      </c>
    </row>
    <row r="40" spans="1:59" x14ac:dyDescent="0.2">
      <c r="A40" s="19" t="s">
        <v>1193</v>
      </c>
      <c r="B40" s="19" t="s">
        <v>81</v>
      </c>
      <c r="C40" s="19">
        <v>18328984</v>
      </c>
      <c r="D40" s="19">
        <v>5</v>
      </c>
      <c r="E40" s="19" t="s">
        <v>1194</v>
      </c>
      <c r="F40" s="19" t="s">
        <v>1195</v>
      </c>
      <c r="G40" s="19" t="s">
        <v>1196</v>
      </c>
      <c r="H40" s="19" t="s">
        <v>654</v>
      </c>
      <c r="I40" s="19" t="s">
        <v>655</v>
      </c>
      <c r="J40" s="19">
        <v>80</v>
      </c>
      <c r="K40" s="19" t="s">
        <v>556</v>
      </c>
      <c r="L40" s="19" t="s">
        <v>495</v>
      </c>
      <c r="M40" s="19" t="s">
        <v>17</v>
      </c>
      <c r="N40" s="19">
        <v>45764</v>
      </c>
      <c r="O40" s="19">
        <v>30</v>
      </c>
      <c r="P40" s="83">
        <v>1</v>
      </c>
      <c r="Q40" s="19" t="s">
        <v>23</v>
      </c>
      <c r="R40" s="19" t="s">
        <v>11</v>
      </c>
      <c r="S40" s="19" t="s">
        <v>23</v>
      </c>
      <c r="T40" s="19">
        <v>30</v>
      </c>
      <c r="U40" s="19" t="s">
        <v>11</v>
      </c>
      <c r="V40" s="19" t="s">
        <v>11</v>
      </c>
      <c r="W40" s="19" t="s">
        <v>11</v>
      </c>
      <c r="X40" s="19">
        <v>0</v>
      </c>
      <c r="Y40" s="19" t="s">
        <v>730</v>
      </c>
      <c r="Z40" s="19">
        <v>0</v>
      </c>
      <c r="AA40" s="19">
        <v>0</v>
      </c>
      <c r="AB40" s="19">
        <v>0</v>
      </c>
      <c r="AC40" s="186" t="str">
        <f>IF(OR(M40="13",M40="14",P40=8),"",IF(     AND(OR(S40="AUTORIZADO", S40="PENDIENTE", S40="REDUCIDO", S40="AMPLIADO"),L40&lt;&gt;"HONORARIO" ), _xlfn.CONCAT(IF(H40="X","H",H40),"_",IF(OR(P40=5,P40=6),_xlfn.CONCAT(P40,"A"),P40),"_",VLOOKUP(T40,Datos!$B$2:$C$5,2,TRUE)),""))</f>
        <v>H_1_[11 +]</v>
      </c>
      <c r="AD40" s="186">
        <f t="shared" si="10"/>
        <v>0</v>
      </c>
      <c r="AE40" s="90" t="str">
        <f t="shared" si="11"/>
        <v>-</v>
      </c>
      <c r="AF40" s="91" t="str">
        <f t="shared" si="12"/>
        <v>071901</v>
      </c>
      <c r="AG40" s="92"/>
      <c r="AH40" s="93" t="str">
        <f t="shared" si="13"/>
        <v>Comité Innova Chile</v>
      </c>
      <c r="AI40" s="90" t="str">
        <f t="shared" si="14"/>
        <v>-</v>
      </c>
      <c r="AJ40" s="90">
        <f t="shared" si="15"/>
        <v>5</v>
      </c>
      <c r="AK40" s="90" t="str">
        <f t="shared" si="16"/>
        <v>-</v>
      </c>
      <c r="AL40" s="90" t="str">
        <f t="shared" si="17"/>
        <v>Identifica este registro como HOMBRE</v>
      </c>
      <c r="AM40" s="90" t="str">
        <f t="shared" si="18"/>
        <v>-</v>
      </c>
      <c r="AN40" s="90" t="str">
        <f t="shared" si="19"/>
        <v>-</v>
      </c>
      <c r="AO40" s="90" t="str">
        <f t="shared" si="20"/>
        <v>-</v>
      </c>
      <c r="AP40" s="58" t="str">
        <f t="shared" si="21"/>
        <v>-</v>
      </c>
      <c r="AQ40" s="94" t="str">
        <f t="shared" si="22"/>
        <v>-</v>
      </c>
      <c r="AR40" s="94" t="str">
        <f>IF(N40="","PRIMER_DIA en blanco",
IF(AND(M40="01",N40&gt;=L_Conversion!$C$118,N40&lt;=L_Conversion!$D$118),"-",
IF(AND(M40="02",N40&gt;=L_Conversion!$C$119,N40&lt;=L_Conversion!$D$119),"-",
IF(AND(M40="03",N40&gt;=L_Conversion!$C$120,N40&lt;=L_Conversion!$D$120),"-",
IF(AND(M40="04",N40&gt;=L_Conversion!$C$121,N40&lt;=L_Conversion!$D$121),"-",
IF(AND(M40="05",N40&gt;=L_Conversion!$C$122,N40&lt;=L_Conversion!$D$122),"-",
IF(AND(M40="06",N40&gt;=L_Conversion!$C$123,N40&lt;=L_Conversion!$D$123),"-",
IF(AND(M40="07",N40&gt;=L_Conversion!$C$124,N40&lt;=L_Conversion!$D$124),"-",
IF(AND(M40="08",N40&gt;=L_Conversion!$C$125,N40&lt;=L_Conversion!$D$125),"-",
IF(AND(M40="09",N40&gt;=L_Conversion!$C$126,N40&lt;=L_Conversion!$D$126),"-",
IF(AND(M40="10",N40&gt;=L_Conversion!$C$127,N40&lt;=L_Conversion!$D$127),"-",
IF(AND(M40="11",N40&gt;=L_Conversion!$C$128,N40&lt;=L_Conversion!$D$128),"-",
IF(AND(M40="12",N40&gt;=L_Conversion!$C$129,N40&lt;=L_Conversion!$D$129),"-",
IF(AND(M40="13",N40&gt;=L_Conversion!$C$116,N40&lt;=L_Conversion!$D$116),"-",
IF(AND(M40="14",N40&gt;=L_Conversion!$C$117,N40&lt;=L_Conversion!$D$117),"-",
"PRIMER_DIA fuera de rango")))))))))))))))</f>
        <v>-</v>
      </c>
      <c r="AS40" s="94" t="str">
        <f t="shared" si="23"/>
        <v>-</v>
      </c>
      <c r="AT40" s="94" t="str">
        <f t="shared" si="24"/>
        <v>-</v>
      </c>
      <c r="AU40" s="94" t="str">
        <f t="shared" si="25"/>
        <v>-</v>
      </c>
      <c r="AV40" s="94" t="str">
        <f t="shared" si="26"/>
        <v>-</v>
      </c>
      <c r="AW40" s="94" t="str">
        <f t="shared" si="27"/>
        <v>-</v>
      </c>
      <c r="AX40" s="94" t="str">
        <f t="shared" si="28"/>
        <v>-</v>
      </c>
      <c r="AY40" s="94" t="str">
        <f t="shared" si="29"/>
        <v>-</v>
      </c>
      <c r="AZ40" s="94" t="str">
        <f t="shared" si="30"/>
        <v>-</v>
      </c>
      <c r="BA40" s="94" t="str">
        <f t="shared" si="31"/>
        <v>-</v>
      </c>
      <c r="BB40" s="94" t="str">
        <f t="shared" si="32"/>
        <v>-</v>
      </c>
      <c r="BC40" s="94" t="str">
        <f t="shared" si="33"/>
        <v>-</v>
      </c>
      <c r="BD40" s="94" t="str">
        <f t="shared" si="34"/>
        <v>-</v>
      </c>
      <c r="BE40" s="94" t="str">
        <f t="shared" si="35"/>
        <v>-</v>
      </c>
      <c r="BF40" s="94" t="str">
        <f t="shared" si="36"/>
        <v>-</v>
      </c>
      <c r="BG40" s="186" t="str">
        <f>IF(OR(AQ40="13",AQ40="14",AT40=8),"",IF(     AND(OR(AW40="AUTORIZADO", AW40="PENDIENTE", AW40="REDUCIDO", AW40="AMPLIADO"),AP40&lt;&gt;"HONORARIO" ), _xlfn.CONCAT(IF(AL40="X","H",AL40),"_",IF(OR(AT40=5,AT40=6),_xlfn.CONCAT(AT40,"A"),AT40),"_",VLOOKUP(AX40,Datos!$B$2:$C$5,2,TRUE)),""))</f>
        <v/>
      </c>
    </row>
    <row r="41" spans="1:59" x14ac:dyDescent="0.2">
      <c r="A41" s="19" t="s">
        <v>1193</v>
      </c>
      <c r="B41" s="19" t="s">
        <v>81</v>
      </c>
      <c r="C41" s="19">
        <v>16258421</v>
      </c>
      <c r="D41" s="19">
        <v>9</v>
      </c>
      <c r="E41" s="19" t="s">
        <v>1261</v>
      </c>
      <c r="F41" s="19" t="s">
        <v>1262</v>
      </c>
      <c r="G41" s="19" t="s">
        <v>1263</v>
      </c>
      <c r="H41" s="19" t="s">
        <v>1018</v>
      </c>
      <c r="I41" s="19" t="s">
        <v>653</v>
      </c>
      <c r="J41" s="19">
        <v>80</v>
      </c>
      <c r="K41" s="19" t="s">
        <v>556</v>
      </c>
      <c r="L41" s="19" t="s">
        <v>495</v>
      </c>
      <c r="M41" s="19" t="s">
        <v>17</v>
      </c>
      <c r="N41" s="19">
        <v>45770</v>
      </c>
      <c r="O41" s="19">
        <v>3</v>
      </c>
      <c r="P41" s="83">
        <v>1</v>
      </c>
      <c r="Q41" s="19" t="s">
        <v>23</v>
      </c>
      <c r="R41" s="19" t="s">
        <v>11</v>
      </c>
      <c r="S41" s="19" t="s">
        <v>23</v>
      </c>
      <c r="T41" s="19">
        <v>3</v>
      </c>
      <c r="U41" s="19" t="s">
        <v>11</v>
      </c>
      <c r="V41" s="19" t="s">
        <v>11</v>
      </c>
      <c r="W41" s="19" t="s">
        <v>11</v>
      </c>
      <c r="X41" s="19">
        <v>0</v>
      </c>
      <c r="Y41" s="19" t="s">
        <v>730</v>
      </c>
      <c r="Z41" s="19">
        <v>0</v>
      </c>
      <c r="AA41" s="19">
        <v>0</v>
      </c>
      <c r="AB41" s="19">
        <v>0</v>
      </c>
      <c r="AC41" s="186" t="str">
        <f>IF(OR(M41="13",M41="14",P41=8),"",IF(     AND(OR(S41="AUTORIZADO", S41="PENDIENTE", S41="REDUCIDO", S41="AMPLIADO"),L41&lt;&gt;"HONORARIO" ), _xlfn.CONCAT(IF(H41="X","H",H41),"_",IF(OR(P41=5,P41=6),_xlfn.CONCAT(P41,"A"),P41),"_",VLOOKUP(T41,Datos!$B$2:$C$5,2,TRUE)),""))</f>
        <v>M_1_[hasta 3]</v>
      </c>
      <c r="AD41" s="186">
        <f t="shared" si="10"/>
        <v>0</v>
      </c>
      <c r="AE41" s="90" t="str">
        <f t="shared" si="11"/>
        <v>-</v>
      </c>
      <c r="AF41" s="91" t="str">
        <f t="shared" si="12"/>
        <v>071901</v>
      </c>
      <c r="AG41" s="92"/>
      <c r="AH41" s="93" t="str">
        <f t="shared" si="13"/>
        <v>Comité Innova Chile</v>
      </c>
      <c r="AI41" s="90" t="str">
        <f t="shared" si="14"/>
        <v>-</v>
      </c>
      <c r="AJ41" s="90">
        <f t="shared" si="15"/>
        <v>9</v>
      </c>
      <c r="AK41" s="90" t="str">
        <f t="shared" si="16"/>
        <v>-</v>
      </c>
      <c r="AL41" s="90" t="str">
        <f t="shared" si="17"/>
        <v>Identifica este registro como MUJER</v>
      </c>
      <c r="AM41" s="90" t="str">
        <f t="shared" si="18"/>
        <v>-</v>
      </c>
      <c r="AN41" s="90" t="str">
        <f t="shared" si="19"/>
        <v>-</v>
      </c>
      <c r="AO41" s="90" t="str">
        <f t="shared" si="20"/>
        <v>-</v>
      </c>
      <c r="AP41" s="58" t="str">
        <f t="shared" si="21"/>
        <v>-</v>
      </c>
      <c r="AQ41" s="94" t="str">
        <f t="shared" si="22"/>
        <v>-</v>
      </c>
      <c r="AR41" s="94" t="str">
        <f>IF(N41="","PRIMER_DIA en blanco",
IF(AND(M41="01",N41&gt;=L_Conversion!$C$118,N41&lt;=L_Conversion!$D$118),"-",
IF(AND(M41="02",N41&gt;=L_Conversion!$C$119,N41&lt;=L_Conversion!$D$119),"-",
IF(AND(M41="03",N41&gt;=L_Conversion!$C$120,N41&lt;=L_Conversion!$D$120),"-",
IF(AND(M41="04",N41&gt;=L_Conversion!$C$121,N41&lt;=L_Conversion!$D$121),"-",
IF(AND(M41="05",N41&gt;=L_Conversion!$C$122,N41&lt;=L_Conversion!$D$122),"-",
IF(AND(M41="06",N41&gt;=L_Conversion!$C$123,N41&lt;=L_Conversion!$D$123),"-",
IF(AND(M41="07",N41&gt;=L_Conversion!$C$124,N41&lt;=L_Conversion!$D$124),"-",
IF(AND(M41="08",N41&gt;=L_Conversion!$C$125,N41&lt;=L_Conversion!$D$125),"-",
IF(AND(M41="09",N41&gt;=L_Conversion!$C$126,N41&lt;=L_Conversion!$D$126),"-",
IF(AND(M41="10",N41&gt;=L_Conversion!$C$127,N41&lt;=L_Conversion!$D$127),"-",
IF(AND(M41="11",N41&gt;=L_Conversion!$C$128,N41&lt;=L_Conversion!$D$128),"-",
IF(AND(M41="12",N41&gt;=L_Conversion!$C$129,N41&lt;=L_Conversion!$D$129),"-",
IF(AND(M41="13",N41&gt;=L_Conversion!$C$116,N41&lt;=L_Conversion!$D$116),"-",
IF(AND(M41="14",N41&gt;=L_Conversion!$C$117,N41&lt;=L_Conversion!$D$117),"-",
"PRIMER_DIA fuera de rango")))))))))))))))</f>
        <v>-</v>
      </c>
      <c r="AS41" s="94" t="str">
        <f t="shared" si="23"/>
        <v>-</v>
      </c>
      <c r="AT41" s="94" t="str">
        <f t="shared" si="24"/>
        <v>-</v>
      </c>
      <c r="AU41" s="94" t="str">
        <f t="shared" si="25"/>
        <v>-</v>
      </c>
      <c r="AV41" s="94" t="str">
        <f t="shared" si="26"/>
        <v>-</v>
      </c>
      <c r="AW41" s="94" t="str">
        <f t="shared" si="27"/>
        <v>-</v>
      </c>
      <c r="AX41" s="94" t="str">
        <f t="shared" si="28"/>
        <v>-</v>
      </c>
      <c r="AY41" s="94" t="str">
        <f t="shared" si="29"/>
        <v>-</v>
      </c>
      <c r="AZ41" s="94" t="str">
        <f t="shared" si="30"/>
        <v>-</v>
      </c>
      <c r="BA41" s="94" t="str">
        <f t="shared" si="31"/>
        <v>-</v>
      </c>
      <c r="BB41" s="94" t="str">
        <f t="shared" si="32"/>
        <v>-</v>
      </c>
      <c r="BC41" s="94" t="str">
        <f t="shared" si="33"/>
        <v>-</v>
      </c>
      <c r="BD41" s="94" t="str">
        <f t="shared" si="34"/>
        <v>-</v>
      </c>
      <c r="BE41" s="94" t="str">
        <f t="shared" si="35"/>
        <v>-</v>
      </c>
      <c r="BF41" s="94" t="str">
        <f t="shared" si="36"/>
        <v>-</v>
      </c>
      <c r="BG41" s="186" t="str">
        <f>IF(OR(AQ41="13",AQ41="14",AT41=8),"",IF(     AND(OR(AW41="AUTORIZADO", AW41="PENDIENTE", AW41="REDUCIDO", AW41="AMPLIADO"),AP41&lt;&gt;"HONORARIO" ), _xlfn.CONCAT(IF(AL41="X","H",AL41),"_",IF(OR(AT41=5,AT41=6),_xlfn.CONCAT(AT41,"A"),AT41),"_",VLOOKUP(AX41,Datos!$B$2:$C$5,2,TRUE)),""))</f>
        <v/>
      </c>
    </row>
    <row r="42" spans="1:59" x14ac:dyDescent="0.2">
      <c r="A42" s="19" t="s">
        <v>1193</v>
      </c>
      <c r="B42" s="19" t="s">
        <v>81</v>
      </c>
      <c r="C42" s="19">
        <v>13458012</v>
      </c>
      <c r="D42" s="19">
        <v>7</v>
      </c>
      <c r="E42" s="19" t="s">
        <v>1211</v>
      </c>
      <c r="F42" s="19" t="s">
        <v>1212</v>
      </c>
      <c r="G42" s="19" t="s">
        <v>1213</v>
      </c>
      <c r="H42" s="19" t="s">
        <v>1018</v>
      </c>
      <c r="I42" s="19" t="s">
        <v>653</v>
      </c>
      <c r="J42" s="19">
        <v>80</v>
      </c>
      <c r="K42" s="19" t="s">
        <v>560</v>
      </c>
      <c r="L42" s="19" t="s">
        <v>495</v>
      </c>
      <c r="M42" s="19" t="s">
        <v>17</v>
      </c>
      <c r="N42" s="19">
        <v>45770</v>
      </c>
      <c r="O42" s="19">
        <v>3</v>
      </c>
      <c r="P42" s="83">
        <v>1</v>
      </c>
      <c r="Q42" s="19" t="s">
        <v>23</v>
      </c>
      <c r="R42" s="19" t="s">
        <v>11</v>
      </c>
      <c r="S42" s="19" t="s">
        <v>23</v>
      </c>
      <c r="T42" s="19">
        <v>3</v>
      </c>
      <c r="U42" s="19" t="s">
        <v>11</v>
      </c>
      <c r="V42" s="19" t="s">
        <v>11</v>
      </c>
      <c r="W42" s="19" t="s">
        <v>11</v>
      </c>
      <c r="X42" s="19">
        <v>0</v>
      </c>
      <c r="Y42" s="19" t="s">
        <v>730</v>
      </c>
      <c r="Z42" s="19">
        <v>0</v>
      </c>
      <c r="AA42" s="19">
        <v>0</v>
      </c>
      <c r="AB42" s="19">
        <v>0</v>
      </c>
      <c r="AC42" s="186" t="str">
        <f>IF(OR(M42="13",M42="14",P42=8),"",IF(     AND(OR(S42="AUTORIZADO", S42="PENDIENTE", S42="REDUCIDO", S42="AMPLIADO"),L42&lt;&gt;"HONORARIO" ), _xlfn.CONCAT(IF(H42="X","H",H42),"_",IF(OR(P42=5,P42=6),_xlfn.CONCAT(P42,"A"),P42),"_",VLOOKUP(T42,Datos!$B$2:$C$5,2,TRUE)),""))</f>
        <v>M_1_[hasta 3]</v>
      </c>
      <c r="AD42" s="186">
        <f t="shared" si="10"/>
        <v>0</v>
      </c>
      <c r="AE42" s="90" t="str">
        <f t="shared" si="11"/>
        <v>-</v>
      </c>
      <c r="AF42" s="91" t="str">
        <f t="shared" si="12"/>
        <v>071901</v>
      </c>
      <c r="AG42" s="92"/>
      <c r="AH42" s="93" t="str">
        <f t="shared" si="13"/>
        <v>Comité Innova Chile</v>
      </c>
      <c r="AI42" s="90" t="str">
        <f t="shared" si="14"/>
        <v>-</v>
      </c>
      <c r="AJ42" s="90">
        <f t="shared" si="15"/>
        <v>7</v>
      </c>
      <c r="AK42" s="90" t="str">
        <f t="shared" si="16"/>
        <v>-</v>
      </c>
      <c r="AL42" s="90" t="str">
        <f t="shared" si="17"/>
        <v>Identifica este registro como MUJER</v>
      </c>
      <c r="AM42" s="90" t="str">
        <f t="shared" si="18"/>
        <v>-</v>
      </c>
      <c r="AN42" s="90" t="str">
        <f t="shared" si="19"/>
        <v>-</v>
      </c>
      <c r="AO42" s="90" t="str">
        <f t="shared" si="20"/>
        <v>-</v>
      </c>
      <c r="AP42" s="58" t="str">
        <f t="shared" si="21"/>
        <v>-</v>
      </c>
      <c r="AQ42" s="94" t="str">
        <f t="shared" si="22"/>
        <v>-</v>
      </c>
      <c r="AR42" s="94" t="str">
        <f>IF(N42="","PRIMER_DIA en blanco",
IF(AND(M42="01",N42&gt;=L_Conversion!$C$118,N42&lt;=L_Conversion!$D$118),"-",
IF(AND(M42="02",N42&gt;=L_Conversion!$C$119,N42&lt;=L_Conversion!$D$119),"-",
IF(AND(M42="03",N42&gt;=L_Conversion!$C$120,N42&lt;=L_Conversion!$D$120),"-",
IF(AND(M42="04",N42&gt;=L_Conversion!$C$121,N42&lt;=L_Conversion!$D$121),"-",
IF(AND(M42="05",N42&gt;=L_Conversion!$C$122,N42&lt;=L_Conversion!$D$122),"-",
IF(AND(M42="06",N42&gt;=L_Conversion!$C$123,N42&lt;=L_Conversion!$D$123),"-",
IF(AND(M42="07",N42&gt;=L_Conversion!$C$124,N42&lt;=L_Conversion!$D$124),"-",
IF(AND(M42="08",N42&gt;=L_Conversion!$C$125,N42&lt;=L_Conversion!$D$125),"-",
IF(AND(M42="09",N42&gt;=L_Conversion!$C$126,N42&lt;=L_Conversion!$D$126),"-",
IF(AND(M42="10",N42&gt;=L_Conversion!$C$127,N42&lt;=L_Conversion!$D$127),"-",
IF(AND(M42="11",N42&gt;=L_Conversion!$C$128,N42&lt;=L_Conversion!$D$128),"-",
IF(AND(M42="12",N42&gt;=L_Conversion!$C$129,N42&lt;=L_Conversion!$D$129),"-",
IF(AND(M42="13",N42&gt;=L_Conversion!$C$116,N42&lt;=L_Conversion!$D$116),"-",
IF(AND(M42="14",N42&gt;=L_Conversion!$C$117,N42&lt;=L_Conversion!$D$117),"-",
"PRIMER_DIA fuera de rango")))))))))))))))</f>
        <v>-</v>
      </c>
      <c r="AS42" s="94" t="str">
        <f t="shared" si="23"/>
        <v>-</v>
      </c>
      <c r="AT42" s="94" t="str">
        <f t="shared" si="24"/>
        <v>-</v>
      </c>
      <c r="AU42" s="94" t="str">
        <f t="shared" si="25"/>
        <v>-</v>
      </c>
      <c r="AV42" s="94" t="str">
        <f t="shared" si="26"/>
        <v>-</v>
      </c>
      <c r="AW42" s="94" t="str">
        <f t="shared" si="27"/>
        <v>-</v>
      </c>
      <c r="AX42" s="94" t="str">
        <f t="shared" si="28"/>
        <v>-</v>
      </c>
      <c r="AY42" s="94" t="str">
        <f t="shared" si="29"/>
        <v>-</v>
      </c>
      <c r="AZ42" s="94" t="str">
        <f t="shared" si="30"/>
        <v>-</v>
      </c>
      <c r="BA42" s="94" t="str">
        <f t="shared" si="31"/>
        <v>-</v>
      </c>
      <c r="BB42" s="94" t="str">
        <f t="shared" si="32"/>
        <v>-</v>
      </c>
      <c r="BC42" s="94" t="str">
        <f t="shared" si="33"/>
        <v>-</v>
      </c>
      <c r="BD42" s="94" t="str">
        <f t="shared" si="34"/>
        <v>-</v>
      </c>
      <c r="BE42" s="94" t="str">
        <f t="shared" si="35"/>
        <v>-</v>
      </c>
      <c r="BF42" s="94" t="str">
        <f t="shared" si="36"/>
        <v>-</v>
      </c>
      <c r="BG42" s="186" t="str">
        <f>IF(OR(AQ42="13",AQ42="14",AT42=8),"",IF(     AND(OR(AW42="AUTORIZADO", AW42="PENDIENTE", AW42="REDUCIDO", AW42="AMPLIADO"),AP42&lt;&gt;"HONORARIO" ), _xlfn.CONCAT(IF(AL42="X","H",AL42),"_",IF(OR(AT42=5,AT42=6),_xlfn.CONCAT(AT42,"A"),AT42),"_",VLOOKUP(AX42,Datos!$B$2:$C$5,2,TRUE)),""))</f>
        <v/>
      </c>
    </row>
    <row r="43" spans="1:59" x14ac:dyDescent="0.2">
      <c r="A43" s="19" t="s">
        <v>1193</v>
      </c>
      <c r="B43" s="19" t="s">
        <v>81</v>
      </c>
      <c r="C43" s="19">
        <v>17413900</v>
      </c>
      <c r="D43" s="19">
        <v>8</v>
      </c>
      <c r="E43" s="19" t="s">
        <v>1220</v>
      </c>
      <c r="F43" s="19" t="s">
        <v>1221</v>
      </c>
      <c r="G43" s="19" t="s">
        <v>1222</v>
      </c>
      <c r="H43" s="19" t="s">
        <v>1018</v>
      </c>
      <c r="I43" s="19" t="s">
        <v>655</v>
      </c>
      <c r="J43" s="19">
        <v>80</v>
      </c>
      <c r="K43" s="19" t="s">
        <v>556</v>
      </c>
      <c r="L43" s="19" t="s">
        <v>495</v>
      </c>
      <c r="M43" s="19" t="s">
        <v>17</v>
      </c>
      <c r="N43" s="19">
        <v>45775</v>
      </c>
      <c r="O43" s="19">
        <v>21</v>
      </c>
      <c r="P43" s="83">
        <v>1</v>
      </c>
      <c r="Q43" s="19" t="s">
        <v>23</v>
      </c>
      <c r="R43" s="19" t="s">
        <v>11</v>
      </c>
      <c r="S43" s="19" t="s">
        <v>23</v>
      </c>
      <c r="T43" s="19">
        <v>21</v>
      </c>
      <c r="U43" s="19" t="s">
        <v>11</v>
      </c>
      <c r="V43" s="19" t="s">
        <v>11</v>
      </c>
      <c r="W43" s="19" t="s">
        <v>11</v>
      </c>
      <c r="X43" s="19">
        <v>0</v>
      </c>
      <c r="Y43" s="19" t="s">
        <v>730</v>
      </c>
      <c r="Z43" s="19">
        <v>0</v>
      </c>
      <c r="AA43" s="19">
        <v>0</v>
      </c>
      <c r="AB43" s="19">
        <v>0</v>
      </c>
      <c r="AC43" s="186" t="str">
        <f>IF(OR(M43="13",M43="14",P43=8),"",IF(     AND(OR(S43="AUTORIZADO", S43="PENDIENTE", S43="REDUCIDO", S43="AMPLIADO"),L43&lt;&gt;"HONORARIO" ), _xlfn.CONCAT(IF(H43="X","H",H43),"_",IF(OR(P43=5,P43=6),_xlfn.CONCAT(P43,"A"),P43),"_",VLOOKUP(T43,Datos!$B$2:$C$5,2,TRUE)),""))</f>
        <v>M_1_[11 +]</v>
      </c>
      <c r="AD43" s="186">
        <f t="shared" si="10"/>
        <v>0</v>
      </c>
      <c r="AE43" s="90" t="str">
        <f t="shared" si="11"/>
        <v>-</v>
      </c>
      <c r="AF43" s="91" t="str">
        <f t="shared" si="12"/>
        <v>071901</v>
      </c>
      <c r="AG43" s="92"/>
      <c r="AH43" s="93" t="str">
        <f t="shared" si="13"/>
        <v>Comité Innova Chile</v>
      </c>
      <c r="AI43" s="90" t="str">
        <f t="shared" si="14"/>
        <v>-</v>
      </c>
      <c r="AJ43" s="90">
        <f t="shared" si="15"/>
        <v>8</v>
      </c>
      <c r="AK43" s="90" t="str">
        <f t="shared" si="16"/>
        <v>-</v>
      </c>
      <c r="AL43" s="90" t="str">
        <f t="shared" si="17"/>
        <v>Identifica este registro como MUJER</v>
      </c>
      <c r="AM43" s="90" t="str">
        <f t="shared" si="18"/>
        <v>-</v>
      </c>
      <c r="AN43" s="90" t="str">
        <f t="shared" si="19"/>
        <v>-</v>
      </c>
      <c r="AO43" s="90" t="str">
        <f t="shared" si="20"/>
        <v>-</v>
      </c>
      <c r="AP43" s="58" t="str">
        <f t="shared" si="21"/>
        <v>-</v>
      </c>
      <c r="AQ43" s="94" t="str">
        <f t="shared" si="22"/>
        <v>-</v>
      </c>
      <c r="AR43" s="94" t="str">
        <f>IF(N43="","PRIMER_DIA en blanco",
IF(AND(M43="01",N43&gt;=L_Conversion!$C$118,N43&lt;=L_Conversion!$D$118),"-",
IF(AND(M43="02",N43&gt;=L_Conversion!$C$119,N43&lt;=L_Conversion!$D$119),"-",
IF(AND(M43="03",N43&gt;=L_Conversion!$C$120,N43&lt;=L_Conversion!$D$120),"-",
IF(AND(M43="04",N43&gt;=L_Conversion!$C$121,N43&lt;=L_Conversion!$D$121),"-",
IF(AND(M43="05",N43&gt;=L_Conversion!$C$122,N43&lt;=L_Conversion!$D$122),"-",
IF(AND(M43="06",N43&gt;=L_Conversion!$C$123,N43&lt;=L_Conversion!$D$123),"-",
IF(AND(M43="07",N43&gt;=L_Conversion!$C$124,N43&lt;=L_Conversion!$D$124),"-",
IF(AND(M43="08",N43&gt;=L_Conversion!$C$125,N43&lt;=L_Conversion!$D$125),"-",
IF(AND(M43="09",N43&gt;=L_Conversion!$C$126,N43&lt;=L_Conversion!$D$126),"-",
IF(AND(M43="10",N43&gt;=L_Conversion!$C$127,N43&lt;=L_Conversion!$D$127),"-",
IF(AND(M43="11",N43&gt;=L_Conversion!$C$128,N43&lt;=L_Conversion!$D$128),"-",
IF(AND(M43="12",N43&gt;=L_Conversion!$C$129,N43&lt;=L_Conversion!$D$129),"-",
IF(AND(M43="13",N43&gt;=L_Conversion!$C$116,N43&lt;=L_Conversion!$D$116),"-",
IF(AND(M43="14",N43&gt;=L_Conversion!$C$117,N43&lt;=L_Conversion!$D$117),"-",
"PRIMER_DIA fuera de rango")))))))))))))))</f>
        <v>-</v>
      </c>
      <c r="AS43" s="94" t="str">
        <f t="shared" si="23"/>
        <v>-</v>
      </c>
      <c r="AT43" s="94" t="str">
        <f t="shared" si="24"/>
        <v>-</v>
      </c>
      <c r="AU43" s="94" t="str">
        <f t="shared" si="25"/>
        <v>-</v>
      </c>
      <c r="AV43" s="94" t="str">
        <f t="shared" si="26"/>
        <v>-</v>
      </c>
      <c r="AW43" s="94" t="str">
        <f t="shared" si="27"/>
        <v>-</v>
      </c>
      <c r="AX43" s="94" t="str">
        <f t="shared" si="28"/>
        <v>-</v>
      </c>
      <c r="AY43" s="94" t="str">
        <f t="shared" si="29"/>
        <v>-</v>
      </c>
      <c r="AZ43" s="94" t="str">
        <f t="shared" si="30"/>
        <v>-</v>
      </c>
      <c r="BA43" s="94" t="str">
        <f t="shared" si="31"/>
        <v>-</v>
      </c>
      <c r="BB43" s="94" t="str">
        <f t="shared" si="32"/>
        <v>-</v>
      </c>
      <c r="BC43" s="94" t="str">
        <f t="shared" si="33"/>
        <v>-</v>
      </c>
      <c r="BD43" s="94" t="str">
        <f t="shared" si="34"/>
        <v>-</v>
      </c>
      <c r="BE43" s="94" t="str">
        <f t="shared" si="35"/>
        <v>-</v>
      </c>
      <c r="BF43" s="94" t="str">
        <f t="shared" si="36"/>
        <v>-</v>
      </c>
      <c r="BG43" s="186" t="str">
        <f>IF(OR(AQ43="13",AQ43="14",AT43=8),"",IF(     AND(OR(AW43="AUTORIZADO", AW43="PENDIENTE", AW43="REDUCIDO", AW43="AMPLIADO"),AP43&lt;&gt;"HONORARIO" ), _xlfn.CONCAT(IF(AL43="X","H",AL43),"_",IF(OR(AT43=5,AT43=6),_xlfn.CONCAT(AT43,"A"),AT43),"_",VLOOKUP(AX43,Datos!$B$2:$C$5,2,TRUE)),""))</f>
        <v/>
      </c>
    </row>
    <row r="44" spans="1:59" x14ac:dyDescent="0.2">
      <c r="A44" s="19" t="s">
        <v>1193</v>
      </c>
      <c r="B44" s="19" t="s">
        <v>81</v>
      </c>
      <c r="C44" s="19">
        <v>16015859</v>
      </c>
      <c r="D44" s="19" t="s">
        <v>1246</v>
      </c>
      <c r="E44" s="19" t="s">
        <v>1247</v>
      </c>
      <c r="F44" s="19" t="s">
        <v>1248</v>
      </c>
      <c r="G44" s="19" t="s">
        <v>1249</v>
      </c>
      <c r="H44" s="19" t="s">
        <v>1018</v>
      </c>
      <c r="I44" s="19" t="s">
        <v>653</v>
      </c>
      <c r="J44" s="19">
        <v>80</v>
      </c>
      <c r="K44" s="19" t="s">
        <v>556</v>
      </c>
      <c r="L44" s="19" t="s">
        <v>495</v>
      </c>
      <c r="M44" s="19" t="s">
        <v>17</v>
      </c>
      <c r="N44" s="19">
        <v>45776</v>
      </c>
      <c r="O44" s="19">
        <v>2</v>
      </c>
      <c r="P44" s="83">
        <v>1</v>
      </c>
      <c r="Q44" s="19" t="s">
        <v>23</v>
      </c>
      <c r="R44" s="19" t="s">
        <v>11</v>
      </c>
      <c r="S44" s="19" t="s">
        <v>23</v>
      </c>
      <c r="T44" s="19">
        <v>2</v>
      </c>
      <c r="U44" s="19" t="s">
        <v>11</v>
      </c>
      <c r="V44" s="19" t="s">
        <v>11</v>
      </c>
      <c r="W44" s="19" t="s">
        <v>11</v>
      </c>
      <c r="X44" s="19">
        <v>0</v>
      </c>
      <c r="Y44" s="19" t="s">
        <v>730</v>
      </c>
      <c r="Z44" s="19">
        <v>0</v>
      </c>
      <c r="AA44" s="19">
        <v>0</v>
      </c>
      <c r="AB44" s="19">
        <v>0</v>
      </c>
      <c r="AC44" s="186" t="str">
        <f>IF(OR(M44="13",M44="14",P44=8),"",IF(     AND(OR(S44="AUTORIZADO", S44="PENDIENTE", S44="REDUCIDO", S44="AMPLIADO"),L44&lt;&gt;"HONORARIO" ), _xlfn.CONCAT(IF(H44="X","H",H44),"_",IF(OR(P44=5,P44=6),_xlfn.CONCAT(P44,"A"),P44),"_",VLOOKUP(T44,Datos!$B$2:$C$5,2,TRUE)),""))</f>
        <v>M_1_[hasta 3]</v>
      </c>
      <c r="AD44" s="186">
        <f t="shared" si="10"/>
        <v>0</v>
      </c>
      <c r="AE44" s="90" t="str">
        <f t="shared" si="11"/>
        <v>-</v>
      </c>
      <c r="AF44" s="91" t="str">
        <f t="shared" si="12"/>
        <v>071901</v>
      </c>
      <c r="AG44" s="92"/>
      <c r="AH44" s="93" t="str">
        <f t="shared" si="13"/>
        <v>Comité Innova Chile</v>
      </c>
      <c r="AI44" s="90" t="str">
        <f t="shared" si="14"/>
        <v>-</v>
      </c>
      <c r="AJ44" s="90" t="str">
        <f t="shared" si="15"/>
        <v>K</v>
      </c>
      <c r="AK44" s="90" t="str">
        <f t="shared" si="16"/>
        <v>-</v>
      </c>
      <c r="AL44" s="90" t="str">
        <f t="shared" si="17"/>
        <v>Identifica este registro como MUJER</v>
      </c>
      <c r="AM44" s="90" t="str">
        <f t="shared" si="18"/>
        <v>-</v>
      </c>
      <c r="AN44" s="90" t="str">
        <f t="shared" si="19"/>
        <v>-</v>
      </c>
      <c r="AO44" s="90" t="str">
        <f t="shared" si="20"/>
        <v>-</v>
      </c>
      <c r="AP44" s="58" t="str">
        <f t="shared" si="21"/>
        <v>-</v>
      </c>
      <c r="AQ44" s="94" t="str">
        <f t="shared" si="22"/>
        <v>-</v>
      </c>
      <c r="AR44" s="94" t="str">
        <f>IF(N44="","PRIMER_DIA en blanco",
IF(AND(M44="01",N44&gt;=L_Conversion!$C$118,N44&lt;=L_Conversion!$D$118),"-",
IF(AND(M44="02",N44&gt;=L_Conversion!$C$119,N44&lt;=L_Conversion!$D$119),"-",
IF(AND(M44="03",N44&gt;=L_Conversion!$C$120,N44&lt;=L_Conversion!$D$120),"-",
IF(AND(M44="04",N44&gt;=L_Conversion!$C$121,N44&lt;=L_Conversion!$D$121),"-",
IF(AND(M44="05",N44&gt;=L_Conversion!$C$122,N44&lt;=L_Conversion!$D$122),"-",
IF(AND(M44="06",N44&gt;=L_Conversion!$C$123,N44&lt;=L_Conversion!$D$123),"-",
IF(AND(M44="07",N44&gt;=L_Conversion!$C$124,N44&lt;=L_Conversion!$D$124),"-",
IF(AND(M44="08",N44&gt;=L_Conversion!$C$125,N44&lt;=L_Conversion!$D$125),"-",
IF(AND(M44="09",N44&gt;=L_Conversion!$C$126,N44&lt;=L_Conversion!$D$126),"-",
IF(AND(M44="10",N44&gt;=L_Conversion!$C$127,N44&lt;=L_Conversion!$D$127),"-",
IF(AND(M44="11",N44&gt;=L_Conversion!$C$128,N44&lt;=L_Conversion!$D$128),"-",
IF(AND(M44="12",N44&gt;=L_Conversion!$C$129,N44&lt;=L_Conversion!$D$129),"-",
IF(AND(M44="13",N44&gt;=L_Conversion!$C$116,N44&lt;=L_Conversion!$D$116),"-",
IF(AND(M44="14",N44&gt;=L_Conversion!$C$117,N44&lt;=L_Conversion!$D$117),"-",
"PRIMER_DIA fuera de rango")))))))))))))))</f>
        <v>-</v>
      </c>
      <c r="AS44" s="94" t="str">
        <f t="shared" si="23"/>
        <v>-</v>
      </c>
      <c r="AT44" s="94" t="str">
        <f t="shared" si="24"/>
        <v>-</v>
      </c>
      <c r="AU44" s="94" t="str">
        <f t="shared" si="25"/>
        <v>-</v>
      </c>
      <c r="AV44" s="94" t="str">
        <f t="shared" si="26"/>
        <v>-</v>
      </c>
      <c r="AW44" s="94" t="str">
        <f t="shared" si="27"/>
        <v>-</v>
      </c>
      <c r="AX44" s="94" t="str">
        <f t="shared" si="28"/>
        <v>-</v>
      </c>
      <c r="AY44" s="94" t="str">
        <f t="shared" si="29"/>
        <v>-</v>
      </c>
      <c r="AZ44" s="94" t="str">
        <f t="shared" si="30"/>
        <v>-</v>
      </c>
      <c r="BA44" s="94" t="str">
        <f t="shared" si="31"/>
        <v>-</v>
      </c>
      <c r="BB44" s="94" t="str">
        <f t="shared" si="32"/>
        <v>-</v>
      </c>
      <c r="BC44" s="94" t="str">
        <f t="shared" si="33"/>
        <v>-</v>
      </c>
      <c r="BD44" s="94" t="str">
        <f t="shared" si="34"/>
        <v>-</v>
      </c>
      <c r="BE44" s="94" t="str">
        <f t="shared" si="35"/>
        <v>-</v>
      </c>
      <c r="BF44" s="94" t="str">
        <f t="shared" si="36"/>
        <v>-</v>
      </c>
      <c r="BG44" s="186" t="str">
        <f>IF(OR(AQ44="13",AQ44="14",AT44=8),"",IF(     AND(OR(AW44="AUTORIZADO", AW44="PENDIENTE", AW44="REDUCIDO", AW44="AMPLIADO"),AP44&lt;&gt;"HONORARIO" ), _xlfn.CONCAT(IF(AL44="X","H",AL44),"_",IF(OR(AT44=5,AT44=6),_xlfn.CONCAT(AT44,"A"),AT44),"_",VLOOKUP(AX44,Datos!$B$2:$C$5,2,TRUE)),""))</f>
        <v/>
      </c>
    </row>
    <row r="45" spans="1:59" x14ac:dyDescent="0.2">
      <c r="A45" s="19" t="s">
        <v>1193</v>
      </c>
      <c r="B45" s="19" t="s">
        <v>81</v>
      </c>
      <c r="C45" s="19">
        <v>19706684</v>
      </c>
      <c r="D45" s="19">
        <v>9</v>
      </c>
      <c r="E45" s="19" t="s">
        <v>1264</v>
      </c>
      <c r="F45" s="19" t="s">
        <v>1265</v>
      </c>
      <c r="G45" s="19" t="s">
        <v>1266</v>
      </c>
      <c r="H45" s="19" t="s">
        <v>654</v>
      </c>
      <c r="I45" s="19" t="s">
        <v>653</v>
      </c>
      <c r="J45" s="19">
        <v>80</v>
      </c>
      <c r="K45" s="19" t="s">
        <v>556</v>
      </c>
      <c r="L45" s="19" t="s">
        <v>495</v>
      </c>
      <c r="M45" s="19" t="s">
        <v>20</v>
      </c>
      <c r="N45" s="19">
        <v>45784</v>
      </c>
      <c r="O45" s="19">
        <v>1</v>
      </c>
      <c r="P45" s="83">
        <v>1</v>
      </c>
      <c r="Q45" s="19" t="s">
        <v>23</v>
      </c>
      <c r="R45" s="19" t="s">
        <v>11</v>
      </c>
      <c r="S45" s="19" t="s">
        <v>23</v>
      </c>
      <c r="T45" s="19">
        <v>1</v>
      </c>
      <c r="U45" s="19" t="s">
        <v>11</v>
      </c>
      <c r="V45" s="19" t="s">
        <v>11</v>
      </c>
      <c r="W45" s="19" t="s">
        <v>11</v>
      </c>
      <c r="X45" s="19">
        <v>0</v>
      </c>
      <c r="Y45" s="19" t="s">
        <v>730</v>
      </c>
      <c r="Z45" s="19">
        <v>0</v>
      </c>
      <c r="AA45" s="19">
        <v>0</v>
      </c>
      <c r="AB45" s="19">
        <v>0</v>
      </c>
      <c r="AC45" s="186" t="str">
        <f>IF(OR(M45="13",M45="14",P45=8),"",IF(     AND(OR(S45="AUTORIZADO", S45="PENDIENTE", S45="REDUCIDO", S45="AMPLIADO"),L45&lt;&gt;"HONORARIO" ), _xlfn.CONCAT(IF(H45="X","H",H45),"_",IF(OR(P45=5,P45=6),_xlfn.CONCAT(P45,"A"),P45),"_",VLOOKUP(T45,Datos!$B$2:$C$5,2,TRUE)),""))</f>
        <v>H_1_[hasta 3]</v>
      </c>
      <c r="AD45" s="186">
        <f t="shared" si="10"/>
        <v>0</v>
      </c>
      <c r="AE45" s="90" t="str">
        <f t="shared" si="11"/>
        <v>-</v>
      </c>
      <c r="AF45" s="91" t="str">
        <f t="shared" si="12"/>
        <v>071901</v>
      </c>
      <c r="AG45" s="92"/>
      <c r="AH45" s="93" t="str">
        <f t="shared" si="13"/>
        <v>Comité Innova Chile</v>
      </c>
      <c r="AI45" s="90" t="str">
        <f t="shared" si="14"/>
        <v>-</v>
      </c>
      <c r="AJ45" s="90">
        <f t="shared" si="15"/>
        <v>9</v>
      </c>
      <c r="AK45" s="90" t="str">
        <f t="shared" si="16"/>
        <v>-</v>
      </c>
      <c r="AL45" s="90" t="str">
        <f t="shared" si="17"/>
        <v>Identifica este registro como HOMBRE</v>
      </c>
      <c r="AM45" s="90" t="str">
        <f t="shared" si="18"/>
        <v>-</v>
      </c>
      <c r="AN45" s="90" t="str">
        <f t="shared" si="19"/>
        <v>-</v>
      </c>
      <c r="AO45" s="90" t="str">
        <f t="shared" si="20"/>
        <v>-</v>
      </c>
      <c r="AP45" s="58" t="str">
        <f t="shared" si="21"/>
        <v>-</v>
      </c>
      <c r="AQ45" s="94" t="str">
        <f t="shared" si="22"/>
        <v>-</v>
      </c>
      <c r="AR45" s="94" t="str">
        <f>IF(N45="","PRIMER_DIA en blanco",
IF(AND(M45="01",N45&gt;=L_Conversion!$C$118,N45&lt;=L_Conversion!$D$118),"-",
IF(AND(M45="02",N45&gt;=L_Conversion!$C$119,N45&lt;=L_Conversion!$D$119),"-",
IF(AND(M45="03",N45&gt;=L_Conversion!$C$120,N45&lt;=L_Conversion!$D$120),"-",
IF(AND(M45="04",N45&gt;=L_Conversion!$C$121,N45&lt;=L_Conversion!$D$121),"-",
IF(AND(M45="05",N45&gt;=L_Conversion!$C$122,N45&lt;=L_Conversion!$D$122),"-",
IF(AND(M45="06",N45&gt;=L_Conversion!$C$123,N45&lt;=L_Conversion!$D$123),"-",
IF(AND(M45="07",N45&gt;=L_Conversion!$C$124,N45&lt;=L_Conversion!$D$124),"-",
IF(AND(M45="08",N45&gt;=L_Conversion!$C$125,N45&lt;=L_Conversion!$D$125),"-",
IF(AND(M45="09",N45&gt;=L_Conversion!$C$126,N45&lt;=L_Conversion!$D$126),"-",
IF(AND(M45="10",N45&gt;=L_Conversion!$C$127,N45&lt;=L_Conversion!$D$127),"-",
IF(AND(M45="11",N45&gt;=L_Conversion!$C$128,N45&lt;=L_Conversion!$D$128),"-",
IF(AND(M45="12",N45&gt;=L_Conversion!$C$129,N45&lt;=L_Conversion!$D$129),"-",
IF(AND(M45="13",N45&gt;=L_Conversion!$C$116,N45&lt;=L_Conversion!$D$116),"-",
IF(AND(M45="14",N45&gt;=L_Conversion!$C$117,N45&lt;=L_Conversion!$D$117),"-",
"PRIMER_DIA fuera de rango")))))))))))))))</f>
        <v>-</v>
      </c>
      <c r="AS45" s="94" t="str">
        <f t="shared" si="23"/>
        <v>-</v>
      </c>
      <c r="AT45" s="94" t="str">
        <f t="shared" si="24"/>
        <v>-</v>
      </c>
      <c r="AU45" s="94" t="str">
        <f t="shared" si="25"/>
        <v>-</v>
      </c>
      <c r="AV45" s="94" t="str">
        <f t="shared" si="26"/>
        <v>-</v>
      </c>
      <c r="AW45" s="94" t="str">
        <f t="shared" si="27"/>
        <v>-</v>
      </c>
      <c r="AX45" s="94" t="str">
        <f t="shared" si="28"/>
        <v>-</v>
      </c>
      <c r="AY45" s="94" t="str">
        <f t="shared" si="29"/>
        <v>-</v>
      </c>
      <c r="AZ45" s="94" t="str">
        <f t="shared" si="30"/>
        <v>-</v>
      </c>
      <c r="BA45" s="94" t="str">
        <f t="shared" si="31"/>
        <v>-</v>
      </c>
      <c r="BB45" s="94" t="str">
        <f t="shared" si="32"/>
        <v>-</v>
      </c>
      <c r="BC45" s="94" t="str">
        <f t="shared" si="33"/>
        <v>-</v>
      </c>
      <c r="BD45" s="94" t="str">
        <f t="shared" si="34"/>
        <v>-</v>
      </c>
      <c r="BE45" s="94" t="str">
        <f t="shared" si="35"/>
        <v>-</v>
      </c>
      <c r="BF45" s="94" t="str">
        <f t="shared" si="36"/>
        <v>-</v>
      </c>
      <c r="BG45" s="186" t="str">
        <f>IF(OR(AQ45="13",AQ45="14",AT45=8),"",IF(     AND(OR(AW45="AUTORIZADO", AW45="PENDIENTE", AW45="REDUCIDO", AW45="AMPLIADO"),AP45&lt;&gt;"HONORARIO" ), _xlfn.CONCAT(IF(AL45="X","H",AL45),"_",IF(OR(AT45=5,AT45=6),_xlfn.CONCAT(AT45,"A"),AT45),"_",VLOOKUP(AX45,Datos!$B$2:$C$5,2,TRUE)),""))</f>
        <v/>
      </c>
    </row>
    <row r="46" spans="1:59" x14ac:dyDescent="0.2">
      <c r="A46" s="19" t="s">
        <v>1193</v>
      </c>
      <c r="B46" s="19" t="s">
        <v>81</v>
      </c>
      <c r="C46" s="19">
        <v>10667993</v>
      </c>
      <c r="D46" s="19">
        <v>2</v>
      </c>
      <c r="E46" s="19" t="s">
        <v>1197</v>
      </c>
      <c r="F46" s="19" t="s">
        <v>1198</v>
      </c>
      <c r="G46" s="19" t="s">
        <v>1199</v>
      </c>
      <c r="H46" s="19" t="s">
        <v>1018</v>
      </c>
      <c r="I46" s="19" t="s">
        <v>653</v>
      </c>
      <c r="J46" s="19">
        <v>80</v>
      </c>
      <c r="K46" s="19" t="s">
        <v>560</v>
      </c>
      <c r="L46" s="19" t="s">
        <v>495</v>
      </c>
      <c r="M46" s="19" t="s">
        <v>20</v>
      </c>
      <c r="N46" s="19">
        <v>45790</v>
      </c>
      <c r="O46" s="19">
        <v>11</v>
      </c>
      <c r="P46" s="83">
        <v>1</v>
      </c>
      <c r="Q46" s="19" t="s">
        <v>23</v>
      </c>
      <c r="R46" s="19" t="s">
        <v>11</v>
      </c>
      <c r="S46" s="19" t="s">
        <v>23</v>
      </c>
      <c r="T46" s="19">
        <v>11</v>
      </c>
      <c r="U46" s="19" t="s">
        <v>11</v>
      </c>
      <c r="V46" s="19" t="s">
        <v>11</v>
      </c>
      <c r="W46" s="19" t="s">
        <v>11</v>
      </c>
      <c r="X46" s="19">
        <v>0</v>
      </c>
      <c r="Y46" s="19" t="s">
        <v>730</v>
      </c>
      <c r="Z46" s="19">
        <v>0</v>
      </c>
      <c r="AA46" s="19">
        <v>0</v>
      </c>
      <c r="AB46" s="19">
        <v>0</v>
      </c>
      <c r="AC46" s="186" t="str">
        <f>IF(OR(M46="13",M46="14",P46=8),"",IF(     AND(OR(S46="AUTORIZADO", S46="PENDIENTE", S46="REDUCIDO", S46="AMPLIADO"),L46&lt;&gt;"HONORARIO" ), _xlfn.CONCAT(IF(H46="X","H",H46),"_",IF(OR(P46=5,P46=6),_xlfn.CONCAT(P46,"A"),P46),"_",VLOOKUP(T46,Datos!$B$2:$C$5,2,TRUE)),""))</f>
        <v>M_1_[11 +]</v>
      </c>
      <c r="AD46" s="186">
        <f t="shared" si="10"/>
        <v>0</v>
      </c>
      <c r="AE46" s="90" t="str">
        <f t="shared" si="11"/>
        <v>-</v>
      </c>
      <c r="AF46" s="91" t="str">
        <f t="shared" si="12"/>
        <v>071901</v>
      </c>
      <c r="AG46" s="92"/>
      <c r="AH46" s="93" t="str">
        <f t="shared" si="13"/>
        <v>Comité Innova Chile</v>
      </c>
      <c r="AI46" s="90" t="str">
        <f t="shared" si="14"/>
        <v>-</v>
      </c>
      <c r="AJ46" s="90">
        <f t="shared" si="15"/>
        <v>2</v>
      </c>
      <c r="AK46" s="90" t="str">
        <f t="shared" si="16"/>
        <v>-</v>
      </c>
      <c r="AL46" s="90" t="str">
        <f t="shared" si="17"/>
        <v>Identifica este registro como MUJER</v>
      </c>
      <c r="AM46" s="90" t="str">
        <f t="shared" si="18"/>
        <v>-</v>
      </c>
      <c r="AN46" s="90" t="str">
        <f t="shared" si="19"/>
        <v>-</v>
      </c>
      <c r="AO46" s="90" t="str">
        <f t="shared" si="20"/>
        <v>-</v>
      </c>
      <c r="AP46" s="58" t="str">
        <f t="shared" si="21"/>
        <v>-</v>
      </c>
      <c r="AQ46" s="94" t="str">
        <f t="shared" si="22"/>
        <v>-</v>
      </c>
      <c r="AR46" s="94" t="str">
        <f>IF(N46="","PRIMER_DIA en blanco",
IF(AND(M46="01",N46&gt;=L_Conversion!$C$118,N46&lt;=L_Conversion!$D$118),"-",
IF(AND(M46="02",N46&gt;=L_Conversion!$C$119,N46&lt;=L_Conversion!$D$119),"-",
IF(AND(M46="03",N46&gt;=L_Conversion!$C$120,N46&lt;=L_Conversion!$D$120),"-",
IF(AND(M46="04",N46&gt;=L_Conversion!$C$121,N46&lt;=L_Conversion!$D$121),"-",
IF(AND(M46="05",N46&gt;=L_Conversion!$C$122,N46&lt;=L_Conversion!$D$122),"-",
IF(AND(M46="06",N46&gt;=L_Conversion!$C$123,N46&lt;=L_Conversion!$D$123),"-",
IF(AND(M46="07",N46&gt;=L_Conversion!$C$124,N46&lt;=L_Conversion!$D$124),"-",
IF(AND(M46="08",N46&gt;=L_Conversion!$C$125,N46&lt;=L_Conversion!$D$125),"-",
IF(AND(M46="09",N46&gt;=L_Conversion!$C$126,N46&lt;=L_Conversion!$D$126),"-",
IF(AND(M46="10",N46&gt;=L_Conversion!$C$127,N46&lt;=L_Conversion!$D$127),"-",
IF(AND(M46="11",N46&gt;=L_Conversion!$C$128,N46&lt;=L_Conversion!$D$128),"-",
IF(AND(M46="12",N46&gt;=L_Conversion!$C$129,N46&lt;=L_Conversion!$D$129),"-",
IF(AND(M46="13",N46&gt;=L_Conversion!$C$116,N46&lt;=L_Conversion!$D$116),"-",
IF(AND(M46="14",N46&gt;=L_Conversion!$C$117,N46&lt;=L_Conversion!$D$117),"-",
"PRIMER_DIA fuera de rango")))))))))))))))</f>
        <v>-</v>
      </c>
      <c r="AS46" s="94" t="str">
        <f t="shared" si="23"/>
        <v>-</v>
      </c>
      <c r="AT46" s="94" t="str">
        <f t="shared" si="24"/>
        <v>-</v>
      </c>
      <c r="AU46" s="94" t="str">
        <f t="shared" si="25"/>
        <v>-</v>
      </c>
      <c r="AV46" s="94" t="str">
        <f t="shared" si="26"/>
        <v>-</v>
      </c>
      <c r="AW46" s="94" t="str">
        <f t="shared" si="27"/>
        <v>-</v>
      </c>
      <c r="AX46" s="94" t="str">
        <f t="shared" si="28"/>
        <v>-</v>
      </c>
      <c r="AY46" s="94" t="str">
        <f t="shared" si="29"/>
        <v>-</v>
      </c>
      <c r="AZ46" s="94" t="str">
        <f t="shared" si="30"/>
        <v>-</v>
      </c>
      <c r="BA46" s="94" t="str">
        <f t="shared" si="31"/>
        <v>-</v>
      </c>
      <c r="BB46" s="94" t="str">
        <f t="shared" si="32"/>
        <v>-</v>
      </c>
      <c r="BC46" s="94" t="str">
        <f t="shared" si="33"/>
        <v>-</v>
      </c>
      <c r="BD46" s="94" t="str">
        <f t="shared" si="34"/>
        <v>-</v>
      </c>
      <c r="BE46" s="94" t="str">
        <f t="shared" si="35"/>
        <v>-</v>
      </c>
      <c r="BF46" s="94" t="str">
        <f t="shared" si="36"/>
        <v>-</v>
      </c>
      <c r="BG46" s="186" t="str">
        <f>IF(OR(AQ46="13",AQ46="14",AT46=8),"",IF(     AND(OR(AW46="AUTORIZADO", AW46="PENDIENTE", AW46="REDUCIDO", AW46="AMPLIADO"),AP46&lt;&gt;"HONORARIO" ), _xlfn.CONCAT(IF(AL46="X","H",AL46),"_",IF(OR(AT46=5,AT46=6),_xlfn.CONCAT(AT46,"A"),AT46),"_",VLOOKUP(AX46,Datos!$B$2:$C$5,2,TRUE)),""))</f>
        <v/>
      </c>
    </row>
    <row r="47" spans="1:59" x14ac:dyDescent="0.2">
      <c r="A47" s="19" t="s">
        <v>1193</v>
      </c>
      <c r="B47" s="19" t="s">
        <v>81</v>
      </c>
      <c r="C47" s="19">
        <v>15829824</v>
      </c>
      <c r="D47" s="19">
        <v>4</v>
      </c>
      <c r="E47" s="19" t="s">
        <v>1267</v>
      </c>
      <c r="F47" s="19" t="s">
        <v>1268</v>
      </c>
      <c r="G47" s="19" t="s">
        <v>1269</v>
      </c>
      <c r="H47" s="19" t="s">
        <v>654</v>
      </c>
      <c r="I47" s="19" t="s">
        <v>653</v>
      </c>
      <c r="J47" s="19">
        <v>80</v>
      </c>
      <c r="K47" s="19" t="s">
        <v>556</v>
      </c>
      <c r="L47" s="19" t="s">
        <v>495</v>
      </c>
      <c r="M47" s="19" t="s">
        <v>20</v>
      </c>
      <c r="N47" s="19">
        <v>45793</v>
      </c>
      <c r="O47" s="19">
        <v>1</v>
      </c>
      <c r="P47" s="83">
        <v>1</v>
      </c>
      <c r="Q47" s="19" t="s">
        <v>23</v>
      </c>
      <c r="R47" s="19" t="s">
        <v>11</v>
      </c>
      <c r="S47" s="19" t="s">
        <v>23</v>
      </c>
      <c r="T47" s="19">
        <v>1</v>
      </c>
      <c r="U47" s="19" t="s">
        <v>11</v>
      </c>
      <c r="V47" s="19" t="s">
        <v>11</v>
      </c>
      <c r="W47" s="19" t="s">
        <v>11</v>
      </c>
      <c r="X47" s="19">
        <v>0</v>
      </c>
      <c r="Y47" s="19" t="s">
        <v>730</v>
      </c>
      <c r="Z47" s="19">
        <v>0</v>
      </c>
      <c r="AA47" s="19">
        <v>0</v>
      </c>
      <c r="AB47" s="19">
        <v>0</v>
      </c>
      <c r="AC47" s="186" t="str">
        <f>IF(OR(M47="13",M47="14",P47=8),"",IF(     AND(OR(S47="AUTORIZADO", S47="PENDIENTE", S47="REDUCIDO", S47="AMPLIADO"),L47&lt;&gt;"HONORARIO" ), _xlfn.CONCAT(IF(H47="X","H",H47),"_",IF(OR(P47=5,P47=6),_xlfn.CONCAT(P47,"A"),P47),"_",VLOOKUP(T47,Datos!$B$2:$C$5,2,TRUE)),""))</f>
        <v>H_1_[hasta 3]</v>
      </c>
      <c r="AD47" s="186">
        <f t="shared" si="10"/>
        <v>0</v>
      </c>
      <c r="AE47" s="90" t="str">
        <f t="shared" si="11"/>
        <v>-</v>
      </c>
      <c r="AF47" s="91" t="str">
        <f t="shared" si="12"/>
        <v>071901</v>
      </c>
      <c r="AG47" s="92"/>
      <c r="AH47" s="93" t="str">
        <f t="shared" si="13"/>
        <v>Comité Innova Chile</v>
      </c>
      <c r="AI47" s="90" t="str">
        <f t="shared" si="14"/>
        <v>-</v>
      </c>
      <c r="AJ47" s="90">
        <f t="shared" si="15"/>
        <v>4</v>
      </c>
      <c r="AK47" s="90" t="str">
        <f t="shared" si="16"/>
        <v>-</v>
      </c>
      <c r="AL47" s="90" t="str">
        <f t="shared" si="17"/>
        <v>Identifica este registro como HOMBRE</v>
      </c>
      <c r="AM47" s="90" t="str">
        <f t="shared" si="18"/>
        <v>-</v>
      </c>
      <c r="AN47" s="90" t="str">
        <f t="shared" si="19"/>
        <v>-</v>
      </c>
      <c r="AO47" s="90" t="str">
        <f t="shared" si="20"/>
        <v>-</v>
      </c>
      <c r="AP47" s="58" t="str">
        <f t="shared" si="21"/>
        <v>-</v>
      </c>
      <c r="AQ47" s="94" t="str">
        <f t="shared" si="22"/>
        <v>-</v>
      </c>
      <c r="AR47" s="94" t="str">
        <f>IF(N47="","PRIMER_DIA en blanco",
IF(AND(M47="01",N47&gt;=L_Conversion!$C$118,N47&lt;=L_Conversion!$D$118),"-",
IF(AND(M47="02",N47&gt;=L_Conversion!$C$119,N47&lt;=L_Conversion!$D$119),"-",
IF(AND(M47="03",N47&gt;=L_Conversion!$C$120,N47&lt;=L_Conversion!$D$120),"-",
IF(AND(M47="04",N47&gt;=L_Conversion!$C$121,N47&lt;=L_Conversion!$D$121),"-",
IF(AND(M47="05",N47&gt;=L_Conversion!$C$122,N47&lt;=L_Conversion!$D$122),"-",
IF(AND(M47="06",N47&gt;=L_Conversion!$C$123,N47&lt;=L_Conversion!$D$123),"-",
IF(AND(M47="07",N47&gt;=L_Conversion!$C$124,N47&lt;=L_Conversion!$D$124),"-",
IF(AND(M47="08",N47&gt;=L_Conversion!$C$125,N47&lt;=L_Conversion!$D$125),"-",
IF(AND(M47="09",N47&gt;=L_Conversion!$C$126,N47&lt;=L_Conversion!$D$126),"-",
IF(AND(M47="10",N47&gt;=L_Conversion!$C$127,N47&lt;=L_Conversion!$D$127),"-",
IF(AND(M47="11",N47&gt;=L_Conversion!$C$128,N47&lt;=L_Conversion!$D$128),"-",
IF(AND(M47="12",N47&gt;=L_Conversion!$C$129,N47&lt;=L_Conversion!$D$129),"-",
IF(AND(M47="13",N47&gt;=L_Conversion!$C$116,N47&lt;=L_Conversion!$D$116),"-",
IF(AND(M47="14",N47&gt;=L_Conversion!$C$117,N47&lt;=L_Conversion!$D$117),"-",
"PRIMER_DIA fuera de rango")))))))))))))))</f>
        <v>-</v>
      </c>
      <c r="AS47" s="94" t="str">
        <f t="shared" si="23"/>
        <v>-</v>
      </c>
      <c r="AT47" s="94" t="str">
        <f t="shared" si="24"/>
        <v>-</v>
      </c>
      <c r="AU47" s="94" t="str">
        <f t="shared" si="25"/>
        <v>-</v>
      </c>
      <c r="AV47" s="94" t="str">
        <f t="shared" si="26"/>
        <v>-</v>
      </c>
      <c r="AW47" s="94" t="str">
        <f t="shared" si="27"/>
        <v>-</v>
      </c>
      <c r="AX47" s="94" t="str">
        <f t="shared" si="28"/>
        <v>-</v>
      </c>
      <c r="AY47" s="94" t="str">
        <f t="shared" si="29"/>
        <v>-</v>
      </c>
      <c r="AZ47" s="94" t="str">
        <f t="shared" si="30"/>
        <v>-</v>
      </c>
      <c r="BA47" s="94" t="str">
        <f t="shared" si="31"/>
        <v>-</v>
      </c>
      <c r="BB47" s="94" t="str">
        <f t="shared" si="32"/>
        <v>-</v>
      </c>
      <c r="BC47" s="94" t="str">
        <f t="shared" si="33"/>
        <v>-</v>
      </c>
      <c r="BD47" s="94" t="str">
        <f t="shared" si="34"/>
        <v>-</v>
      </c>
      <c r="BE47" s="94" t="str">
        <f t="shared" si="35"/>
        <v>-</v>
      </c>
      <c r="BF47" s="94" t="str">
        <f t="shared" si="36"/>
        <v>-</v>
      </c>
      <c r="BG47" s="186" t="str">
        <f>IF(OR(AQ47="13",AQ47="14",AT47=8),"",IF(     AND(OR(AW47="AUTORIZADO", AW47="PENDIENTE", AW47="REDUCIDO", AW47="AMPLIADO"),AP47&lt;&gt;"HONORARIO" ), _xlfn.CONCAT(IF(AL47="X","H",AL47),"_",IF(OR(AT47=5,AT47=6),_xlfn.CONCAT(AT47,"A"),AT47),"_",VLOOKUP(AX47,Datos!$B$2:$C$5,2,TRUE)),""))</f>
        <v/>
      </c>
    </row>
    <row r="48" spans="1:59" x14ac:dyDescent="0.2">
      <c r="A48" s="19" t="s">
        <v>1193</v>
      </c>
      <c r="B48" s="19" t="s">
        <v>81</v>
      </c>
      <c r="C48" s="19">
        <v>18328984</v>
      </c>
      <c r="D48" s="19">
        <v>5</v>
      </c>
      <c r="E48" s="19" t="s">
        <v>1194</v>
      </c>
      <c r="F48" s="19" t="s">
        <v>1195</v>
      </c>
      <c r="G48" s="19" t="s">
        <v>1196</v>
      </c>
      <c r="H48" s="19" t="s">
        <v>654</v>
      </c>
      <c r="I48" s="19" t="s">
        <v>655</v>
      </c>
      <c r="J48" s="19">
        <v>80</v>
      </c>
      <c r="K48" s="19" t="s">
        <v>556</v>
      </c>
      <c r="L48" s="19" t="s">
        <v>495</v>
      </c>
      <c r="M48" s="19" t="s">
        <v>20</v>
      </c>
      <c r="N48" s="19">
        <v>45794</v>
      </c>
      <c r="O48" s="19">
        <v>54</v>
      </c>
      <c r="P48" s="83">
        <v>1</v>
      </c>
      <c r="Q48" s="19" t="s">
        <v>23</v>
      </c>
      <c r="R48" s="19" t="s">
        <v>11</v>
      </c>
      <c r="S48" s="19" t="s">
        <v>23</v>
      </c>
      <c r="T48" s="19">
        <v>54</v>
      </c>
      <c r="U48" s="19" t="s">
        <v>11</v>
      </c>
      <c r="V48" s="19" t="s">
        <v>11</v>
      </c>
      <c r="W48" s="19" t="s">
        <v>11</v>
      </c>
      <c r="X48" s="19">
        <v>0</v>
      </c>
      <c r="Y48" s="19" t="s">
        <v>730</v>
      </c>
      <c r="Z48" s="19">
        <v>0</v>
      </c>
      <c r="AA48" s="19">
        <v>0</v>
      </c>
      <c r="AB48" s="19">
        <v>0</v>
      </c>
      <c r="AC48" s="186" t="str">
        <f>IF(OR(M48="13",M48="14",P48=8),"",IF(     AND(OR(S48="AUTORIZADO", S48="PENDIENTE", S48="REDUCIDO", S48="AMPLIADO"),L48&lt;&gt;"HONORARIO" ), _xlfn.CONCAT(IF(H48="X","H",H48),"_",IF(OR(P48=5,P48=6),_xlfn.CONCAT(P48,"A"),P48),"_",VLOOKUP(T48,Datos!$B$2:$C$5,2,TRUE)),""))</f>
        <v>H_1_[11 +]</v>
      </c>
      <c r="AD48" s="186">
        <f t="shared" si="10"/>
        <v>0</v>
      </c>
      <c r="AE48" s="90" t="str">
        <f t="shared" si="11"/>
        <v>-</v>
      </c>
      <c r="AF48" s="91" t="str">
        <f t="shared" si="12"/>
        <v>071901</v>
      </c>
      <c r="AG48" s="92"/>
      <c r="AH48" s="93" t="str">
        <f t="shared" si="13"/>
        <v>Comité Innova Chile</v>
      </c>
      <c r="AI48" s="90" t="str">
        <f t="shared" si="14"/>
        <v>-</v>
      </c>
      <c r="AJ48" s="90">
        <f t="shared" si="15"/>
        <v>5</v>
      </c>
      <c r="AK48" s="90" t="str">
        <f t="shared" si="16"/>
        <v>-</v>
      </c>
      <c r="AL48" s="90" t="str">
        <f t="shared" si="17"/>
        <v>Identifica este registro como HOMBRE</v>
      </c>
      <c r="AM48" s="90" t="str">
        <f t="shared" si="18"/>
        <v>-</v>
      </c>
      <c r="AN48" s="90" t="str">
        <f t="shared" si="19"/>
        <v>-</v>
      </c>
      <c r="AO48" s="90" t="str">
        <f t="shared" si="20"/>
        <v>-</v>
      </c>
      <c r="AP48" s="58" t="str">
        <f t="shared" si="21"/>
        <v>-</v>
      </c>
      <c r="AQ48" s="94" t="str">
        <f t="shared" si="22"/>
        <v>-</v>
      </c>
      <c r="AR48" s="94" t="str">
        <f>IF(N48="","PRIMER_DIA en blanco",
IF(AND(M48="01",N48&gt;=L_Conversion!$C$118,N48&lt;=L_Conversion!$D$118),"-",
IF(AND(M48="02",N48&gt;=L_Conversion!$C$119,N48&lt;=L_Conversion!$D$119),"-",
IF(AND(M48="03",N48&gt;=L_Conversion!$C$120,N48&lt;=L_Conversion!$D$120),"-",
IF(AND(M48="04",N48&gt;=L_Conversion!$C$121,N48&lt;=L_Conversion!$D$121),"-",
IF(AND(M48="05",N48&gt;=L_Conversion!$C$122,N48&lt;=L_Conversion!$D$122),"-",
IF(AND(M48="06",N48&gt;=L_Conversion!$C$123,N48&lt;=L_Conversion!$D$123),"-",
IF(AND(M48="07",N48&gt;=L_Conversion!$C$124,N48&lt;=L_Conversion!$D$124),"-",
IF(AND(M48="08",N48&gt;=L_Conversion!$C$125,N48&lt;=L_Conversion!$D$125),"-",
IF(AND(M48="09",N48&gt;=L_Conversion!$C$126,N48&lt;=L_Conversion!$D$126),"-",
IF(AND(M48="10",N48&gt;=L_Conversion!$C$127,N48&lt;=L_Conversion!$D$127),"-",
IF(AND(M48="11",N48&gt;=L_Conversion!$C$128,N48&lt;=L_Conversion!$D$128),"-",
IF(AND(M48="12",N48&gt;=L_Conversion!$C$129,N48&lt;=L_Conversion!$D$129),"-",
IF(AND(M48="13",N48&gt;=L_Conversion!$C$116,N48&lt;=L_Conversion!$D$116),"-",
IF(AND(M48="14",N48&gt;=L_Conversion!$C$117,N48&lt;=L_Conversion!$D$117),"-",
"PRIMER_DIA fuera de rango")))))))))))))))</f>
        <v>-</v>
      </c>
      <c r="AS48" s="94" t="str">
        <f t="shared" si="23"/>
        <v>-</v>
      </c>
      <c r="AT48" s="94" t="str">
        <f t="shared" si="24"/>
        <v>-</v>
      </c>
      <c r="AU48" s="94" t="str">
        <f t="shared" si="25"/>
        <v>-</v>
      </c>
      <c r="AV48" s="94" t="str">
        <f t="shared" si="26"/>
        <v>-</v>
      </c>
      <c r="AW48" s="94" t="str">
        <f t="shared" si="27"/>
        <v>-</v>
      </c>
      <c r="AX48" s="94" t="str">
        <f t="shared" si="28"/>
        <v>-</v>
      </c>
      <c r="AY48" s="94" t="str">
        <f t="shared" si="29"/>
        <v>-</v>
      </c>
      <c r="AZ48" s="94" t="str">
        <f t="shared" si="30"/>
        <v>-</v>
      </c>
      <c r="BA48" s="94" t="str">
        <f t="shared" si="31"/>
        <v>-</v>
      </c>
      <c r="BB48" s="94" t="str">
        <f t="shared" si="32"/>
        <v>-</v>
      </c>
      <c r="BC48" s="94" t="str">
        <f t="shared" si="33"/>
        <v>-</v>
      </c>
      <c r="BD48" s="94" t="str">
        <f t="shared" si="34"/>
        <v>-</v>
      </c>
      <c r="BE48" s="94" t="str">
        <f t="shared" si="35"/>
        <v>-</v>
      </c>
      <c r="BF48" s="94" t="str">
        <f t="shared" si="36"/>
        <v>-</v>
      </c>
      <c r="BG48" s="186" t="str">
        <f>IF(OR(AQ48="13",AQ48="14",AT48=8),"",IF(     AND(OR(AW48="AUTORIZADO", AW48="PENDIENTE", AW48="REDUCIDO", AW48="AMPLIADO"),AP48&lt;&gt;"HONORARIO" ), _xlfn.CONCAT(IF(AL48="X","H",AL48),"_",IF(OR(AT48=5,AT48=6),_xlfn.CONCAT(AT48,"A"),AT48),"_",VLOOKUP(AX48,Datos!$B$2:$C$5,2,TRUE)),""))</f>
        <v/>
      </c>
    </row>
    <row r="49" spans="1:59" x14ac:dyDescent="0.2">
      <c r="A49" s="19" t="s">
        <v>1193</v>
      </c>
      <c r="B49" s="19" t="s">
        <v>81</v>
      </c>
      <c r="C49" s="19">
        <v>17413900</v>
      </c>
      <c r="D49" s="19">
        <v>8</v>
      </c>
      <c r="E49" s="19" t="s">
        <v>1220</v>
      </c>
      <c r="F49" s="19" t="s">
        <v>1221</v>
      </c>
      <c r="G49" s="19" t="s">
        <v>1222</v>
      </c>
      <c r="H49" s="19" t="s">
        <v>1018</v>
      </c>
      <c r="I49" s="19" t="s">
        <v>655</v>
      </c>
      <c r="J49" s="19">
        <v>80</v>
      </c>
      <c r="K49" s="19" t="s">
        <v>556</v>
      </c>
      <c r="L49" s="19" t="s">
        <v>495</v>
      </c>
      <c r="M49" s="19" t="s">
        <v>20</v>
      </c>
      <c r="N49" s="19">
        <v>45796</v>
      </c>
      <c r="O49" s="19">
        <v>21</v>
      </c>
      <c r="P49" s="83">
        <v>1</v>
      </c>
      <c r="Q49" s="19" t="s">
        <v>23</v>
      </c>
      <c r="R49" s="19" t="s">
        <v>11</v>
      </c>
      <c r="S49" s="19" t="s">
        <v>23</v>
      </c>
      <c r="T49" s="19">
        <v>21</v>
      </c>
      <c r="U49" s="19" t="s">
        <v>11</v>
      </c>
      <c r="V49" s="19" t="s">
        <v>11</v>
      </c>
      <c r="W49" s="19" t="s">
        <v>11</v>
      </c>
      <c r="X49" s="19">
        <v>0</v>
      </c>
      <c r="Y49" s="19" t="s">
        <v>730</v>
      </c>
      <c r="Z49" s="19">
        <v>0</v>
      </c>
      <c r="AA49" s="19">
        <v>0</v>
      </c>
      <c r="AB49" s="19">
        <v>0</v>
      </c>
      <c r="AC49" s="186" t="str">
        <f>IF(OR(M49="13",M49="14",P49=8),"",IF(     AND(OR(S49="AUTORIZADO", S49="PENDIENTE", S49="REDUCIDO", S49="AMPLIADO"),L49&lt;&gt;"HONORARIO" ), _xlfn.CONCAT(IF(H49="X","H",H49),"_",IF(OR(P49=5,P49=6),_xlfn.CONCAT(P49,"A"),P49),"_",VLOOKUP(T49,Datos!$B$2:$C$5,2,TRUE)),""))</f>
        <v>M_1_[11 +]</v>
      </c>
      <c r="AD49" s="186">
        <f t="shared" si="10"/>
        <v>0</v>
      </c>
      <c r="AE49" s="90" t="str">
        <f t="shared" si="11"/>
        <v>-</v>
      </c>
      <c r="AF49" s="91" t="str">
        <f t="shared" si="12"/>
        <v>071901</v>
      </c>
      <c r="AG49" s="92"/>
      <c r="AH49" s="93" t="str">
        <f t="shared" si="13"/>
        <v>Comité Innova Chile</v>
      </c>
      <c r="AI49" s="90" t="str">
        <f t="shared" si="14"/>
        <v>-</v>
      </c>
      <c r="AJ49" s="90">
        <f t="shared" si="15"/>
        <v>8</v>
      </c>
      <c r="AK49" s="90" t="str">
        <f t="shared" si="16"/>
        <v>-</v>
      </c>
      <c r="AL49" s="90" t="str">
        <f t="shared" si="17"/>
        <v>Identifica este registro como MUJER</v>
      </c>
      <c r="AM49" s="90" t="str">
        <f t="shared" si="18"/>
        <v>-</v>
      </c>
      <c r="AN49" s="90" t="str">
        <f t="shared" si="19"/>
        <v>-</v>
      </c>
      <c r="AO49" s="90" t="str">
        <f t="shared" si="20"/>
        <v>-</v>
      </c>
      <c r="AP49" s="58" t="str">
        <f t="shared" si="21"/>
        <v>-</v>
      </c>
      <c r="AQ49" s="94" t="str">
        <f t="shared" si="22"/>
        <v>-</v>
      </c>
      <c r="AR49" s="94" t="str">
        <f>IF(N49="","PRIMER_DIA en blanco",
IF(AND(M49="01",N49&gt;=L_Conversion!$C$118,N49&lt;=L_Conversion!$D$118),"-",
IF(AND(M49="02",N49&gt;=L_Conversion!$C$119,N49&lt;=L_Conversion!$D$119),"-",
IF(AND(M49="03",N49&gt;=L_Conversion!$C$120,N49&lt;=L_Conversion!$D$120),"-",
IF(AND(M49="04",N49&gt;=L_Conversion!$C$121,N49&lt;=L_Conversion!$D$121),"-",
IF(AND(M49="05",N49&gt;=L_Conversion!$C$122,N49&lt;=L_Conversion!$D$122),"-",
IF(AND(M49="06",N49&gt;=L_Conversion!$C$123,N49&lt;=L_Conversion!$D$123),"-",
IF(AND(M49="07",N49&gt;=L_Conversion!$C$124,N49&lt;=L_Conversion!$D$124),"-",
IF(AND(M49="08",N49&gt;=L_Conversion!$C$125,N49&lt;=L_Conversion!$D$125),"-",
IF(AND(M49="09",N49&gt;=L_Conversion!$C$126,N49&lt;=L_Conversion!$D$126),"-",
IF(AND(M49="10",N49&gt;=L_Conversion!$C$127,N49&lt;=L_Conversion!$D$127),"-",
IF(AND(M49="11",N49&gt;=L_Conversion!$C$128,N49&lt;=L_Conversion!$D$128),"-",
IF(AND(M49="12",N49&gt;=L_Conversion!$C$129,N49&lt;=L_Conversion!$D$129),"-",
IF(AND(M49="13",N49&gt;=L_Conversion!$C$116,N49&lt;=L_Conversion!$D$116),"-",
IF(AND(M49="14",N49&gt;=L_Conversion!$C$117,N49&lt;=L_Conversion!$D$117),"-",
"PRIMER_DIA fuera de rango")))))))))))))))</f>
        <v>-</v>
      </c>
      <c r="AS49" s="94" t="str">
        <f t="shared" si="23"/>
        <v>-</v>
      </c>
      <c r="AT49" s="94" t="str">
        <f t="shared" si="24"/>
        <v>-</v>
      </c>
      <c r="AU49" s="94" t="str">
        <f t="shared" si="25"/>
        <v>-</v>
      </c>
      <c r="AV49" s="94" t="str">
        <f t="shared" si="26"/>
        <v>-</v>
      </c>
      <c r="AW49" s="94" t="str">
        <f t="shared" si="27"/>
        <v>-</v>
      </c>
      <c r="AX49" s="94" t="str">
        <f t="shared" si="28"/>
        <v>-</v>
      </c>
      <c r="AY49" s="94" t="str">
        <f t="shared" si="29"/>
        <v>-</v>
      </c>
      <c r="AZ49" s="94" t="str">
        <f t="shared" si="30"/>
        <v>-</v>
      </c>
      <c r="BA49" s="94" t="str">
        <f t="shared" si="31"/>
        <v>-</v>
      </c>
      <c r="BB49" s="94" t="str">
        <f t="shared" si="32"/>
        <v>-</v>
      </c>
      <c r="BC49" s="94" t="str">
        <f t="shared" si="33"/>
        <v>-</v>
      </c>
      <c r="BD49" s="94" t="str">
        <f t="shared" si="34"/>
        <v>-</v>
      </c>
      <c r="BE49" s="94" t="str">
        <f t="shared" si="35"/>
        <v>-</v>
      </c>
      <c r="BF49" s="94" t="str">
        <f t="shared" si="36"/>
        <v>-</v>
      </c>
      <c r="BG49" s="186" t="str">
        <f>IF(OR(AQ49="13",AQ49="14",AT49=8),"",IF(     AND(OR(AW49="AUTORIZADO", AW49="PENDIENTE", AW49="REDUCIDO", AW49="AMPLIADO"),AP49&lt;&gt;"HONORARIO" ), _xlfn.CONCAT(IF(AL49="X","H",AL49),"_",IF(OR(AT49=5,AT49=6),_xlfn.CONCAT(AT49,"A"),AT49),"_",VLOOKUP(AX49,Datos!$B$2:$C$5,2,TRUE)),""))</f>
        <v/>
      </c>
    </row>
    <row r="50" spans="1:59" x14ac:dyDescent="0.2">
      <c r="A50" s="19" t="s">
        <v>1193</v>
      </c>
      <c r="B50" s="19" t="s">
        <v>81</v>
      </c>
      <c r="C50" s="19">
        <v>10667993</v>
      </c>
      <c r="D50" s="19">
        <v>2</v>
      </c>
      <c r="E50" s="19" t="s">
        <v>1197</v>
      </c>
      <c r="F50" s="19" t="s">
        <v>1198</v>
      </c>
      <c r="G50" s="19" t="s">
        <v>1199</v>
      </c>
      <c r="H50" s="19" t="s">
        <v>1018</v>
      </c>
      <c r="I50" s="19" t="s">
        <v>653</v>
      </c>
      <c r="J50" s="19">
        <v>80</v>
      </c>
      <c r="K50" s="19" t="s">
        <v>560</v>
      </c>
      <c r="L50" s="19" t="s">
        <v>495</v>
      </c>
      <c r="M50" s="19" t="s">
        <v>20</v>
      </c>
      <c r="N50" s="19">
        <v>45801</v>
      </c>
      <c r="O50" s="19">
        <v>21</v>
      </c>
      <c r="P50" s="83">
        <v>1</v>
      </c>
      <c r="Q50" s="19" t="s">
        <v>23</v>
      </c>
      <c r="R50" s="19" t="s">
        <v>11</v>
      </c>
      <c r="S50" s="19" t="s">
        <v>23</v>
      </c>
      <c r="T50" s="19">
        <v>21</v>
      </c>
      <c r="U50" s="19" t="s">
        <v>11</v>
      </c>
      <c r="V50" s="19" t="s">
        <v>11</v>
      </c>
      <c r="W50" s="19" t="s">
        <v>11</v>
      </c>
      <c r="X50" s="19">
        <v>0</v>
      </c>
      <c r="Y50" s="19" t="s">
        <v>730</v>
      </c>
      <c r="Z50" s="19">
        <v>0</v>
      </c>
      <c r="AA50" s="19">
        <v>0</v>
      </c>
      <c r="AB50" s="19">
        <v>0</v>
      </c>
      <c r="AC50" s="186" t="str">
        <f>IF(OR(M50="13",M50="14",P50=8),"",IF(     AND(OR(S50="AUTORIZADO", S50="PENDIENTE", S50="REDUCIDO", S50="AMPLIADO"),L50&lt;&gt;"HONORARIO" ), _xlfn.CONCAT(IF(H50="X","H",H50),"_",IF(OR(P50=5,P50=6),_xlfn.CONCAT(P50,"A"),P50),"_",VLOOKUP(T50,Datos!$B$2:$C$5,2,TRUE)),""))</f>
        <v>M_1_[11 +]</v>
      </c>
      <c r="AD50" s="186">
        <f t="shared" si="10"/>
        <v>0</v>
      </c>
      <c r="AE50" s="90" t="str">
        <f t="shared" si="11"/>
        <v>-</v>
      </c>
      <c r="AF50" s="91" t="str">
        <f t="shared" si="12"/>
        <v>071901</v>
      </c>
      <c r="AG50" s="92"/>
      <c r="AH50" s="93" t="str">
        <f t="shared" si="13"/>
        <v>Comité Innova Chile</v>
      </c>
      <c r="AI50" s="90" t="str">
        <f t="shared" si="14"/>
        <v>-</v>
      </c>
      <c r="AJ50" s="90">
        <f t="shared" si="15"/>
        <v>2</v>
      </c>
      <c r="AK50" s="90" t="str">
        <f t="shared" si="16"/>
        <v>-</v>
      </c>
      <c r="AL50" s="90" t="str">
        <f t="shared" si="17"/>
        <v>Identifica este registro como MUJER</v>
      </c>
      <c r="AM50" s="90" t="str">
        <f t="shared" si="18"/>
        <v>-</v>
      </c>
      <c r="AN50" s="90" t="str">
        <f t="shared" si="19"/>
        <v>-</v>
      </c>
      <c r="AO50" s="90" t="str">
        <f t="shared" si="20"/>
        <v>-</v>
      </c>
      <c r="AP50" s="58" t="str">
        <f t="shared" si="21"/>
        <v>-</v>
      </c>
      <c r="AQ50" s="94" t="str">
        <f t="shared" si="22"/>
        <v>-</v>
      </c>
      <c r="AR50" s="94" t="str">
        <f>IF(N50="","PRIMER_DIA en blanco",
IF(AND(M50="01",N50&gt;=L_Conversion!$C$118,N50&lt;=L_Conversion!$D$118),"-",
IF(AND(M50="02",N50&gt;=L_Conversion!$C$119,N50&lt;=L_Conversion!$D$119),"-",
IF(AND(M50="03",N50&gt;=L_Conversion!$C$120,N50&lt;=L_Conversion!$D$120),"-",
IF(AND(M50="04",N50&gt;=L_Conversion!$C$121,N50&lt;=L_Conversion!$D$121),"-",
IF(AND(M50="05",N50&gt;=L_Conversion!$C$122,N50&lt;=L_Conversion!$D$122),"-",
IF(AND(M50="06",N50&gt;=L_Conversion!$C$123,N50&lt;=L_Conversion!$D$123),"-",
IF(AND(M50="07",N50&gt;=L_Conversion!$C$124,N50&lt;=L_Conversion!$D$124),"-",
IF(AND(M50="08",N50&gt;=L_Conversion!$C$125,N50&lt;=L_Conversion!$D$125),"-",
IF(AND(M50="09",N50&gt;=L_Conversion!$C$126,N50&lt;=L_Conversion!$D$126),"-",
IF(AND(M50="10",N50&gt;=L_Conversion!$C$127,N50&lt;=L_Conversion!$D$127),"-",
IF(AND(M50="11",N50&gt;=L_Conversion!$C$128,N50&lt;=L_Conversion!$D$128),"-",
IF(AND(M50="12",N50&gt;=L_Conversion!$C$129,N50&lt;=L_Conversion!$D$129),"-",
IF(AND(M50="13",N50&gt;=L_Conversion!$C$116,N50&lt;=L_Conversion!$D$116),"-",
IF(AND(M50="14",N50&gt;=L_Conversion!$C$117,N50&lt;=L_Conversion!$D$117),"-",
"PRIMER_DIA fuera de rango")))))))))))))))</f>
        <v>-</v>
      </c>
      <c r="AS50" s="94" t="str">
        <f t="shared" si="23"/>
        <v>-</v>
      </c>
      <c r="AT50" s="94" t="str">
        <f t="shared" si="24"/>
        <v>-</v>
      </c>
      <c r="AU50" s="94" t="str">
        <f t="shared" si="25"/>
        <v>-</v>
      </c>
      <c r="AV50" s="94" t="str">
        <f t="shared" si="26"/>
        <v>-</v>
      </c>
      <c r="AW50" s="94" t="str">
        <f t="shared" si="27"/>
        <v>-</v>
      </c>
      <c r="AX50" s="94" t="str">
        <f t="shared" si="28"/>
        <v>-</v>
      </c>
      <c r="AY50" s="94" t="str">
        <f t="shared" si="29"/>
        <v>-</v>
      </c>
      <c r="AZ50" s="94" t="str">
        <f t="shared" si="30"/>
        <v>-</v>
      </c>
      <c r="BA50" s="94" t="str">
        <f t="shared" si="31"/>
        <v>-</v>
      </c>
      <c r="BB50" s="94" t="str">
        <f t="shared" si="32"/>
        <v>-</v>
      </c>
      <c r="BC50" s="94" t="str">
        <f t="shared" si="33"/>
        <v>-</v>
      </c>
      <c r="BD50" s="94" t="str">
        <f t="shared" si="34"/>
        <v>-</v>
      </c>
      <c r="BE50" s="94" t="str">
        <f t="shared" si="35"/>
        <v>-</v>
      </c>
      <c r="BF50" s="94" t="str">
        <f t="shared" si="36"/>
        <v>-</v>
      </c>
      <c r="BG50" s="186" t="str">
        <f>IF(OR(AQ50="13",AQ50="14",AT50=8),"",IF(     AND(OR(AW50="AUTORIZADO", AW50="PENDIENTE", AW50="REDUCIDO", AW50="AMPLIADO"),AP50&lt;&gt;"HONORARIO" ), _xlfn.CONCAT(IF(AL50="X","H",AL50),"_",IF(OR(AT50=5,AT50=6),_xlfn.CONCAT(AT50,"A"),AT50),"_",VLOOKUP(AX50,Datos!$B$2:$C$5,2,TRUE)),""))</f>
        <v/>
      </c>
    </row>
    <row r="51" spans="1:59" x14ac:dyDescent="0.2">
      <c r="A51" s="19" t="s">
        <v>1193</v>
      </c>
      <c r="B51" s="19" t="s">
        <v>81</v>
      </c>
      <c r="C51" s="19">
        <v>19361760</v>
      </c>
      <c r="D51" s="19">
        <v>3</v>
      </c>
      <c r="E51" s="19" t="s">
        <v>1205</v>
      </c>
      <c r="F51" s="19" t="s">
        <v>1206</v>
      </c>
      <c r="G51" s="19" t="s">
        <v>1207</v>
      </c>
      <c r="H51" s="19" t="s">
        <v>1018</v>
      </c>
      <c r="I51" s="19" t="s">
        <v>653</v>
      </c>
      <c r="J51" s="19">
        <v>80</v>
      </c>
      <c r="K51" s="19" t="s">
        <v>556</v>
      </c>
      <c r="L51" s="19" t="s">
        <v>495</v>
      </c>
      <c r="M51" s="19" t="s">
        <v>20</v>
      </c>
      <c r="N51" s="19">
        <v>45805</v>
      </c>
      <c r="O51" s="19">
        <v>3</v>
      </c>
      <c r="P51" s="83">
        <v>1</v>
      </c>
      <c r="Q51" s="19" t="s">
        <v>23</v>
      </c>
      <c r="R51" s="19" t="s">
        <v>11</v>
      </c>
      <c r="S51" s="19" t="s">
        <v>23</v>
      </c>
      <c r="T51" s="19">
        <v>3</v>
      </c>
      <c r="U51" s="19" t="s">
        <v>11</v>
      </c>
      <c r="V51" s="19" t="s">
        <v>11</v>
      </c>
      <c r="W51" s="19" t="s">
        <v>11</v>
      </c>
      <c r="X51" s="19">
        <v>0</v>
      </c>
      <c r="Y51" s="19" t="s">
        <v>730</v>
      </c>
      <c r="Z51" s="19">
        <v>0</v>
      </c>
      <c r="AA51" s="19">
        <v>0</v>
      </c>
      <c r="AB51" s="19">
        <v>0</v>
      </c>
      <c r="AC51" s="186" t="str">
        <f>IF(OR(M51="13",M51="14",P51=8),"",IF(     AND(OR(S51="AUTORIZADO", S51="PENDIENTE", S51="REDUCIDO", S51="AMPLIADO"),L51&lt;&gt;"HONORARIO" ), _xlfn.CONCAT(IF(H51="X","H",H51),"_",IF(OR(P51=5,P51=6),_xlfn.CONCAT(P51,"A"),P51),"_",VLOOKUP(T51,Datos!$B$2:$C$5,2,TRUE)),""))</f>
        <v>M_1_[hasta 3]</v>
      </c>
      <c r="AD51" s="186">
        <f t="shared" si="10"/>
        <v>0</v>
      </c>
      <c r="AE51" s="90" t="str">
        <f t="shared" si="11"/>
        <v>-</v>
      </c>
      <c r="AF51" s="91" t="str">
        <f t="shared" si="12"/>
        <v>071901</v>
      </c>
      <c r="AG51" s="92"/>
      <c r="AH51" s="93" t="str">
        <f t="shared" si="13"/>
        <v>Comité Innova Chile</v>
      </c>
      <c r="AI51" s="90" t="str">
        <f t="shared" si="14"/>
        <v>-</v>
      </c>
      <c r="AJ51" s="90">
        <f t="shared" si="15"/>
        <v>3</v>
      </c>
      <c r="AK51" s="90" t="str">
        <f t="shared" si="16"/>
        <v>-</v>
      </c>
      <c r="AL51" s="90" t="str">
        <f t="shared" si="17"/>
        <v>Identifica este registro como MUJER</v>
      </c>
      <c r="AM51" s="90" t="str">
        <f t="shared" si="18"/>
        <v>-</v>
      </c>
      <c r="AN51" s="90" t="str">
        <f t="shared" si="19"/>
        <v>-</v>
      </c>
      <c r="AO51" s="90" t="str">
        <f t="shared" si="20"/>
        <v>-</v>
      </c>
      <c r="AP51" s="58" t="str">
        <f t="shared" si="21"/>
        <v>-</v>
      </c>
      <c r="AQ51" s="94" t="str">
        <f t="shared" si="22"/>
        <v>-</v>
      </c>
      <c r="AR51" s="94" t="str">
        <f>IF(N51="","PRIMER_DIA en blanco",
IF(AND(M51="01",N51&gt;=L_Conversion!$C$118,N51&lt;=L_Conversion!$D$118),"-",
IF(AND(M51="02",N51&gt;=L_Conversion!$C$119,N51&lt;=L_Conversion!$D$119),"-",
IF(AND(M51="03",N51&gt;=L_Conversion!$C$120,N51&lt;=L_Conversion!$D$120),"-",
IF(AND(M51="04",N51&gt;=L_Conversion!$C$121,N51&lt;=L_Conversion!$D$121),"-",
IF(AND(M51="05",N51&gt;=L_Conversion!$C$122,N51&lt;=L_Conversion!$D$122),"-",
IF(AND(M51="06",N51&gt;=L_Conversion!$C$123,N51&lt;=L_Conversion!$D$123),"-",
IF(AND(M51="07",N51&gt;=L_Conversion!$C$124,N51&lt;=L_Conversion!$D$124),"-",
IF(AND(M51="08",N51&gt;=L_Conversion!$C$125,N51&lt;=L_Conversion!$D$125),"-",
IF(AND(M51="09",N51&gt;=L_Conversion!$C$126,N51&lt;=L_Conversion!$D$126),"-",
IF(AND(M51="10",N51&gt;=L_Conversion!$C$127,N51&lt;=L_Conversion!$D$127),"-",
IF(AND(M51="11",N51&gt;=L_Conversion!$C$128,N51&lt;=L_Conversion!$D$128),"-",
IF(AND(M51="12",N51&gt;=L_Conversion!$C$129,N51&lt;=L_Conversion!$D$129),"-",
IF(AND(M51="13",N51&gt;=L_Conversion!$C$116,N51&lt;=L_Conversion!$D$116),"-",
IF(AND(M51="14",N51&gt;=L_Conversion!$C$117,N51&lt;=L_Conversion!$D$117),"-",
"PRIMER_DIA fuera de rango")))))))))))))))</f>
        <v>-</v>
      </c>
      <c r="AS51" s="94" t="str">
        <f t="shared" si="23"/>
        <v>-</v>
      </c>
      <c r="AT51" s="94" t="str">
        <f t="shared" si="24"/>
        <v>-</v>
      </c>
      <c r="AU51" s="94" t="str">
        <f t="shared" si="25"/>
        <v>-</v>
      </c>
      <c r="AV51" s="94" t="str">
        <f t="shared" si="26"/>
        <v>-</v>
      </c>
      <c r="AW51" s="94" t="str">
        <f t="shared" si="27"/>
        <v>-</v>
      </c>
      <c r="AX51" s="94" t="str">
        <f t="shared" si="28"/>
        <v>-</v>
      </c>
      <c r="AY51" s="94" t="str">
        <f t="shared" si="29"/>
        <v>-</v>
      </c>
      <c r="AZ51" s="94" t="str">
        <f t="shared" si="30"/>
        <v>-</v>
      </c>
      <c r="BA51" s="94" t="str">
        <f t="shared" si="31"/>
        <v>-</v>
      </c>
      <c r="BB51" s="94" t="str">
        <f t="shared" si="32"/>
        <v>-</v>
      </c>
      <c r="BC51" s="94" t="str">
        <f t="shared" si="33"/>
        <v>-</v>
      </c>
      <c r="BD51" s="94" t="str">
        <f t="shared" si="34"/>
        <v>-</v>
      </c>
      <c r="BE51" s="94" t="str">
        <f t="shared" si="35"/>
        <v>-</v>
      </c>
      <c r="BF51" s="94" t="str">
        <f t="shared" si="36"/>
        <v>-</v>
      </c>
      <c r="BG51" s="186" t="str">
        <f>IF(OR(AQ51="13",AQ51="14",AT51=8),"",IF(     AND(OR(AW51="AUTORIZADO", AW51="PENDIENTE", AW51="REDUCIDO", AW51="AMPLIADO"),AP51&lt;&gt;"HONORARIO" ), _xlfn.CONCAT(IF(AL51="X","H",AL51),"_",IF(OR(AT51=5,AT51=6),_xlfn.CONCAT(AT51,"A"),AT51),"_",VLOOKUP(AX51,Datos!$B$2:$C$5,2,TRUE)),""))</f>
        <v/>
      </c>
    </row>
    <row r="52" spans="1:59" x14ac:dyDescent="0.2">
      <c r="A52" s="19" t="s">
        <v>1193</v>
      </c>
      <c r="B52" s="19" t="s">
        <v>81</v>
      </c>
      <c r="C52" s="19">
        <v>20099565</v>
      </c>
      <c r="D52" s="19">
        <v>1</v>
      </c>
      <c r="E52" s="19" t="s">
        <v>1270</v>
      </c>
      <c r="F52" s="19" t="s">
        <v>1271</v>
      </c>
      <c r="G52" s="19" t="s">
        <v>1272</v>
      </c>
      <c r="H52" s="19" t="s">
        <v>654</v>
      </c>
      <c r="I52" s="19" t="s">
        <v>653</v>
      </c>
      <c r="J52" s="19">
        <v>80</v>
      </c>
      <c r="K52" s="19" t="s">
        <v>556</v>
      </c>
      <c r="L52" s="19" t="s">
        <v>495</v>
      </c>
      <c r="M52" s="19" t="s">
        <v>20</v>
      </c>
      <c r="N52" s="19">
        <v>45806</v>
      </c>
      <c r="O52" s="19">
        <v>2</v>
      </c>
      <c r="P52" s="83">
        <v>1</v>
      </c>
      <c r="Q52" s="19" t="s">
        <v>23</v>
      </c>
      <c r="R52" s="19" t="s">
        <v>11</v>
      </c>
      <c r="S52" s="19" t="s">
        <v>23</v>
      </c>
      <c r="T52" s="19">
        <v>2</v>
      </c>
      <c r="U52" s="19" t="s">
        <v>11</v>
      </c>
      <c r="V52" s="19" t="s">
        <v>11</v>
      </c>
      <c r="W52" s="19" t="s">
        <v>11</v>
      </c>
      <c r="X52" s="19">
        <v>0</v>
      </c>
      <c r="Y52" s="19" t="s">
        <v>730</v>
      </c>
      <c r="Z52" s="19">
        <v>0</v>
      </c>
      <c r="AA52" s="19">
        <v>0</v>
      </c>
      <c r="AB52" s="19">
        <v>0</v>
      </c>
      <c r="AC52" s="186" t="str">
        <f>IF(OR(M52="13",M52="14",P52=8),"",IF(     AND(OR(S52="AUTORIZADO", S52="PENDIENTE", S52="REDUCIDO", S52="AMPLIADO"),L52&lt;&gt;"HONORARIO" ), _xlfn.CONCAT(IF(H52="X","H",H52),"_",IF(OR(P52=5,P52=6),_xlfn.CONCAT(P52,"A"),P52),"_",VLOOKUP(T52,Datos!$B$2:$C$5,2,TRUE)),""))</f>
        <v>H_1_[hasta 3]</v>
      </c>
      <c r="AD52" s="186">
        <f t="shared" si="10"/>
        <v>0</v>
      </c>
      <c r="AE52" s="90" t="str">
        <f t="shared" si="11"/>
        <v>-</v>
      </c>
      <c r="AF52" s="91" t="str">
        <f t="shared" si="12"/>
        <v>071901</v>
      </c>
      <c r="AG52" s="92"/>
      <c r="AH52" s="93" t="str">
        <f t="shared" si="13"/>
        <v>Comité Innova Chile</v>
      </c>
      <c r="AI52" s="90" t="str">
        <f t="shared" si="14"/>
        <v>-</v>
      </c>
      <c r="AJ52" s="90">
        <f t="shared" si="15"/>
        <v>1</v>
      </c>
      <c r="AK52" s="90" t="str">
        <f t="shared" si="16"/>
        <v>-</v>
      </c>
      <c r="AL52" s="90" t="str">
        <f t="shared" si="17"/>
        <v>Identifica este registro como HOMBRE</v>
      </c>
      <c r="AM52" s="90" t="str">
        <f t="shared" si="18"/>
        <v>-</v>
      </c>
      <c r="AN52" s="90" t="str">
        <f t="shared" si="19"/>
        <v>-</v>
      </c>
      <c r="AO52" s="90" t="str">
        <f t="shared" si="20"/>
        <v>-</v>
      </c>
      <c r="AP52" s="58" t="str">
        <f t="shared" si="21"/>
        <v>-</v>
      </c>
      <c r="AQ52" s="94" t="str">
        <f t="shared" si="22"/>
        <v>-</v>
      </c>
      <c r="AR52" s="94" t="str">
        <f>IF(N52="","PRIMER_DIA en blanco",
IF(AND(M52="01",N52&gt;=L_Conversion!$C$118,N52&lt;=L_Conversion!$D$118),"-",
IF(AND(M52="02",N52&gt;=L_Conversion!$C$119,N52&lt;=L_Conversion!$D$119),"-",
IF(AND(M52="03",N52&gt;=L_Conversion!$C$120,N52&lt;=L_Conversion!$D$120),"-",
IF(AND(M52="04",N52&gt;=L_Conversion!$C$121,N52&lt;=L_Conversion!$D$121),"-",
IF(AND(M52="05",N52&gt;=L_Conversion!$C$122,N52&lt;=L_Conversion!$D$122),"-",
IF(AND(M52="06",N52&gt;=L_Conversion!$C$123,N52&lt;=L_Conversion!$D$123),"-",
IF(AND(M52="07",N52&gt;=L_Conversion!$C$124,N52&lt;=L_Conversion!$D$124),"-",
IF(AND(M52="08",N52&gt;=L_Conversion!$C$125,N52&lt;=L_Conversion!$D$125),"-",
IF(AND(M52="09",N52&gt;=L_Conversion!$C$126,N52&lt;=L_Conversion!$D$126),"-",
IF(AND(M52="10",N52&gt;=L_Conversion!$C$127,N52&lt;=L_Conversion!$D$127),"-",
IF(AND(M52="11",N52&gt;=L_Conversion!$C$128,N52&lt;=L_Conversion!$D$128),"-",
IF(AND(M52="12",N52&gt;=L_Conversion!$C$129,N52&lt;=L_Conversion!$D$129),"-",
IF(AND(M52="13",N52&gt;=L_Conversion!$C$116,N52&lt;=L_Conversion!$D$116),"-",
IF(AND(M52="14",N52&gt;=L_Conversion!$C$117,N52&lt;=L_Conversion!$D$117),"-",
"PRIMER_DIA fuera de rango")))))))))))))))</f>
        <v>-</v>
      </c>
      <c r="AS52" s="94" t="str">
        <f t="shared" si="23"/>
        <v>-</v>
      </c>
      <c r="AT52" s="94" t="str">
        <f t="shared" si="24"/>
        <v>-</v>
      </c>
      <c r="AU52" s="94" t="str">
        <f t="shared" si="25"/>
        <v>-</v>
      </c>
      <c r="AV52" s="94" t="str">
        <f t="shared" si="26"/>
        <v>-</v>
      </c>
      <c r="AW52" s="94" t="str">
        <f t="shared" si="27"/>
        <v>-</v>
      </c>
      <c r="AX52" s="94" t="str">
        <f t="shared" si="28"/>
        <v>-</v>
      </c>
      <c r="AY52" s="94" t="str">
        <f t="shared" si="29"/>
        <v>-</v>
      </c>
      <c r="AZ52" s="94" t="str">
        <f t="shared" si="30"/>
        <v>-</v>
      </c>
      <c r="BA52" s="94" t="str">
        <f t="shared" si="31"/>
        <v>-</v>
      </c>
      <c r="BB52" s="94" t="str">
        <f t="shared" si="32"/>
        <v>-</v>
      </c>
      <c r="BC52" s="94" t="str">
        <f t="shared" si="33"/>
        <v>-</v>
      </c>
      <c r="BD52" s="94" t="str">
        <f t="shared" si="34"/>
        <v>-</v>
      </c>
      <c r="BE52" s="94" t="str">
        <f t="shared" si="35"/>
        <v>-</v>
      </c>
      <c r="BF52" s="94" t="str">
        <f t="shared" si="36"/>
        <v>-</v>
      </c>
      <c r="BG52" s="186" t="str">
        <f>IF(OR(AQ52="13",AQ52="14",AT52=8),"",IF(     AND(OR(AW52="AUTORIZADO", AW52="PENDIENTE", AW52="REDUCIDO", AW52="AMPLIADO"),AP52&lt;&gt;"HONORARIO" ), _xlfn.CONCAT(IF(AL52="X","H",AL52),"_",IF(OR(AT52=5,AT52=6),_xlfn.CONCAT(AT52,"A"),AT52),"_",VLOOKUP(AX52,Datos!$B$2:$C$5,2,TRUE)),""))</f>
        <v/>
      </c>
    </row>
    <row r="53" spans="1:59" x14ac:dyDescent="0.2">
      <c r="A53" s="19" t="s">
        <v>1193</v>
      </c>
      <c r="B53" s="19" t="s">
        <v>81</v>
      </c>
      <c r="C53" s="19">
        <v>5667514</v>
      </c>
      <c r="D53" s="19">
        <v>0</v>
      </c>
      <c r="E53" s="19" t="s">
        <v>1243</v>
      </c>
      <c r="F53" s="19" t="s">
        <v>1244</v>
      </c>
      <c r="G53" s="19" t="s">
        <v>1245</v>
      </c>
      <c r="H53" s="19" t="s">
        <v>1018</v>
      </c>
      <c r="I53" s="19" t="s">
        <v>653</v>
      </c>
      <c r="J53" s="19">
        <v>80</v>
      </c>
      <c r="K53" s="19" t="s">
        <v>560</v>
      </c>
      <c r="L53" s="19" t="s">
        <v>495</v>
      </c>
      <c r="M53" s="19" t="s">
        <v>13</v>
      </c>
      <c r="N53" s="19">
        <v>45810</v>
      </c>
      <c r="O53" s="19">
        <v>3</v>
      </c>
      <c r="P53" s="83">
        <v>1</v>
      </c>
      <c r="Q53" s="19" t="s">
        <v>23</v>
      </c>
      <c r="R53" s="19" t="s">
        <v>11</v>
      </c>
      <c r="S53" s="19" t="s">
        <v>23</v>
      </c>
      <c r="T53" s="19">
        <v>3</v>
      </c>
      <c r="U53" s="19" t="s">
        <v>11</v>
      </c>
      <c r="V53" s="19" t="s">
        <v>11</v>
      </c>
      <c r="W53" s="19" t="s">
        <v>11</v>
      </c>
      <c r="X53" s="19">
        <v>0</v>
      </c>
      <c r="Y53" s="19" t="s">
        <v>730</v>
      </c>
      <c r="Z53" s="19">
        <v>0</v>
      </c>
      <c r="AA53" s="19">
        <v>0</v>
      </c>
      <c r="AB53" s="19">
        <v>0</v>
      </c>
      <c r="AC53" s="186" t="str">
        <f>IF(OR(M53="13",M53="14",P53=8),"",IF(     AND(OR(S53="AUTORIZADO", S53="PENDIENTE", S53="REDUCIDO", S53="AMPLIADO"),L53&lt;&gt;"HONORARIO" ), _xlfn.CONCAT(IF(H53="X","H",H53),"_",IF(OR(P53=5,P53=6),_xlfn.CONCAT(P53,"A"),P53),"_",VLOOKUP(T53,Datos!$B$2:$C$5,2,TRUE)),""))</f>
        <v>M_1_[hasta 3]</v>
      </c>
      <c r="AD53" s="186">
        <f t="shared" si="10"/>
        <v>0</v>
      </c>
      <c r="AE53" s="90" t="str">
        <f t="shared" si="11"/>
        <v>-</v>
      </c>
      <c r="AF53" s="91" t="str">
        <f t="shared" si="12"/>
        <v>071901</v>
      </c>
      <c r="AG53" s="92"/>
      <c r="AH53" s="93" t="str">
        <f t="shared" si="13"/>
        <v>Comité Innova Chile</v>
      </c>
      <c r="AI53" s="90" t="str">
        <f t="shared" si="14"/>
        <v>-</v>
      </c>
      <c r="AJ53" s="90">
        <f t="shared" si="15"/>
        <v>0</v>
      </c>
      <c r="AK53" s="90" t="str">
        <f t="shared" si="16"/>
        <v>-</v>
      </c>
      <c r="AL53" s="90" t="str">
        <f t="shared" si="17"/>
        <v>Identifica este registro como MUJER</v>
      </c>
      <c r="AM53" s="90" t="str">
        <f t="shared" si="18"/>
        <v>-</v>
      </c>
      <c r="AN53" s="90" t="str">
        <f t="shared" si="19"/>
        <v>-</v>
      </c>
      <c r="AO53" s="90" t="str">
        <f t="shared" si="20"/>
        <v>-</v>
      </c>
      <c r="AP53" s="58" t="str">
        <f t="shared" si="21"/>
        <v>-</v>
      </c>
      <c r="AQ53" s="94" t="str">
        <f t="shared" si="22"/>
        <v>-</v>
      </c>
      <c r="AR53" s="94" t="str">
        <f>IF(N53="","PRIMER_DIA en blanco",
IF(AND(M53="01",N53&gt;=L_Conversion!$C$118,N53&lt;=L_Conversion!$D$118),"-",
IF(AND(M53="02",N53&gt;=L_Conversion!$C$119,N53&lt;=L_Conversion!$D$119),"-",
IF(AND(M53="03",N53&gt;=L_Conversion!$C$120,N53&lt;=L_Conversion!$D$120),"-",
IF(AND(M53="04",N53&gt;=L_Conversion!$C$121,N53&lt;=L_Conversion!$D$121),"-",
IF(AND(M53="05",N53&gt;=L_Conversion!$C$122,N53&lt;=L_Conversion!$D$122),"-",
IF(AND(M53="06",N53&gt;=L_Conversion!$C$123,N53&lt;=L_Conversion!$D$123),"-",
IF(AND(M53="07",N53&gt;=L_Conversion!$C$124,N53&lt;=L_Conversion!$D$124),"-",
IF(AND(M53="08",N53&gt;=L_Conversion!$C$125,N53&lt;=L_Conversion!$D$125),"-",
IF(AND(M53="09",N53&gt;=L_Conversion!$C$126,N53&lt;=L_Conversion!$D$126),"-",
IF(AND(M53="10",N53&gt;=L_Conversion!$C$127,N53&lt;=L_Conversion!$D$127),"-",
IF(AND(M53="11",N53&gt;=L_Conversion!$C$128,N53&lt;=L_Conversion!$D$128),"-",
IF(AND(M53="12",N53&gt;=L_Conversion!$C$129,N53&lt;=L_Conversion!$D$129),"-",
IF(AND(M53="13",N53&gt;=L_Conversion!$C$116,N53&lt;=L_Conversion!$D$116),"-",
IF(AND(M53="14",N53&gt;=L_Conversion!$C$117,N53&lt;=L_Conversion!$D$117),"-",
"PRIMER_DIA fuera de rango")))))))))))))))</f>
        <v>-</v>
      </c>
      <c r="AS53" s="94" t="str">
        <f t="shared" si="23"/>
        <v>-</v>
      </c>
      <c r="AT53" s="94" t="str">
        <f t="shared" si="24"/>
        <v>-</v>
      </c>
      <c r="AU53" s="94" t="str">
        <f t="shared" si="25"/>
        <v>-</v>
      </c>
      <c r="AV53" s="94" t="str">
        <f t="shared" si="26"/>
        <v>-</v>
      </c>
      <c r="AW53" s="94" t="str">
        <f t="shared" si="27"/>
        <v>-</v>
      </c>
      <c r="AX53" s="94" t="str">
        <f t="shared" si="28"/>
        <v>-</v>
      </c>
      <c r="AY53" s="94" t="str">
        <f t="shared" si="29"/>
        <v>-</v>
      </c>
      <c r="AZ53" s="94" t="str">
        <f t="shared" si="30"/>
        <v>-</v>
      </c>
      <c r="BA53" s="94" t="str">
        <f t="shared" si="31"/>
        <v>-</v>
      </c>
      <c r="BB53" s="94" t="str">
        <f t="shared" si="32"/>
        <v>-</v>
      </c>
      <c r="BC53" s="94" t="str">
        <f t="shared" si="33"/>
        <v>-</v>
      </c>
      <c r="BD53" s="94" t="str">
        <f t="shared" si="34"/>
        <v>-</v>
      </c>
      <c r="BE53" s="94" t="str">
        <f t="shared" si="35"/>
        <v>-</v>
      </c>
      <c r="BF53" s="94" t="str">
        <f t="shared" si="36"/>
        <v>-</v>
      </c>
      <c r="BG53" s="186" t="str">
        <f>IF(OR(AQ53="13",AQ53="14",AT53=8),"",IF(     AND(OR(AW53="AUTORIZADO", AW53="PENDIENTE", AW53="REDUCIDO", AW53="AMPLIADO"),AP53&lt;&gt;"HONORARIO" ), _xlfn.CONCAT(IF(AL53="X","H",AL53),"_",IF(OR(AT53=5,AT53=6),_xlfn.CONCAT(AT53,"A"),AT53),"_",VLOOKUP(AX53,Datos!$B$2:$C$5,2,TRUE)),""))</f>
        <v/>
      </c>
    </row>
    <row r="54" spans="1:59" x14ac:dyDescent="0.2">
      <c r="A54" s="19" t="s">
        <v>1193</v>
      </c>
      <c r="B54" s="19" t="s">
        <v>81</v>
      </c>
      <c r="C54" s="19">
        <v>19361760</v>
      </c>
      <c r="D54" s="19">
        <v>3</v>
      </c>
      <c r="E54" s="19" t="s">
        <v>1205</v>
      </c>
      <c r="F54" s="19" t="s">
        <v>1206</v>
      </c>
      <c r="G54" s="19" t="s">
        <v>1207</v>
      </c>
      <c r="H54" s="19" t="s">
        <v>1018</v>
      </c>
      <c r="I54" s="19" t="s">
        <v>653</v>
      </c>
      <c r="J54" s="19">
        <v>80</v>
      </c>
      <c r="K54" s="19" t="s">
        <v>556</v>
      </c>
      <c r="L54" s="19" t="s">
        <v>495</v>
      </c>
      <c r="M54" s="19" t="s">
        <v>13</v>
      </c>
      <c r="N54" s="19">
        <v>45812</v>
      </c>
      <c r="O54" s="19">
        <v>7</v>
      </c>
      <c r="P54" s="83">
        <v>1</v>
      </c>
      <c r="Q54" s="19" t="s">
        <v>23</v>
      </c>
      <c r="R54" s="19" t="s">
        <v>11</v>
      </c>
      <c r="S54" s="19" t="s">
        <v>23</v>
      </c>
      <c r="T54" s="19">
        <v>7</v>
      </c>
      <c r="U54" s="19" t="s">
        <v>11</v>
      </c>
      <c r="V54" s="19" t="s">
        <v>11</v>
      </c>
      <c r="W54" s="19" t="s">
        <v>11</v>
      </c>
      <c r="X54" s="19">
        <v>0</v>
      </c>
      <c r="Y54" s="19" t="s">
        <v>730</v>
      </c>
      <c r="Z54" s="19">
        <v>0</v>
      </c>
      <c r="AA54" s="19">
        <v>0</v>
      </c>
      <c r="AB54" s="19">
        <v>0</v>
      </c>
      <c r="AC54" s="186" t="str">
        <f>IF(OR(M54="13",M54="14",P54=8),"",IF(     AND(OR(S54="AUTORIZADO", S54="PENDIENTE", S54="REDUCIDO", S54="AMPLIADO"),L54&lt;&gt;"HONORARIO" ), _xlfn.CONCAT(IF(H54="X","H",H54),"_",IF(OR(P54=5,P54=6),_xlfn.CONCAT(P54,"A"),P54),"_",VLOOKUP(T54,Datos!$B$2:$C$5,2,TRUE)),""))</f>
        <v>M_1_[4 a 10]</v>
      </c>
      <c r="AD54" s="186">
        <f t="shared" si="10"/>
        <v>0</v>
      </c>
      <c r="AE54" s="90" t="str">
        <f t="shared" si="11"/>
        <v>-</v>
      </c>
      <c r="AF54" s="91" t="str">
        <f t="shared" si="12"/>
        <v>071901</v>
      </c>
      <c r="AG54" s="92"/>
      <c r="AH54" s="93" t="str">
        <f t="shared" si="13"/>
        <v>Comité Innova Chile</v>
      </c>
      <c r="AI54" s="90" t="str">
        <f t="shared" si="14"/>
        <v>-</v>
      </c>
      <c r="AJ54" s="90">
        <f t="shared" si="15"/>
        <v>3</v>
      </c>
      <c r="AK54" s="90" t="str">
        <f t="shared" si="16"/>
        <v>-</v>
      </c>
      <c r="AL54" s="90" t="str">
        <f t="shared" si="17"/>
        <v>Identifica este registro como MUJER</v>
      </c>
      <c r="AM54" s="90" t="str">
        <f t="shared" si="18"/>
        <v>-</v>
      </c>
      <c r="AN54" s="90" t="str">
        <f t="shared" si="19"/>
        <v>-</v>
      </c>
      <c r="AO54" s="90" t="str">
        <f t="shared" si="20"/>
        <v>-</v>
      </c>
      <c r="AP54" s="58" t="str">
        <f t="shared" si="21"/>
        <v>-</v>
      </c>
      <c r="AQ54" s="94" t="str">
        <f t="shared" si="22"/>
        <v>-</v>
      </c>
      <c r="AR54" s="94" t="str">
        <f>IF(N54="","PRIMER_DIA en blanco",
IF(AND(M54="01",N54&gt;=L_Conversion!$C$118,N54&lt;=L_Conversion!$D$118),"-",
IF(AND(M54="02",N54&gt;=L_Conversion!$C$119,N54&lt;=L_Conversion!$D$119),"-",
IF(AND(M54="03",N54&gt;=L_Conversion!$C$120,N54&lt;=L_Conversion!$D$120),"-",
IF(AND(M54="04",N54&gt;=L_Conversion!$C$121,N54&lt;=L_Conversion!$D$121),"-",
IF(AND(M54="05",N54&gt;=L_Conversion!$C$122,N54&lt;=L_Conversion!$D$122),"-",
IF(AND(M54="06",N54&gt;=L_Conversion!$C$123,N54&lt;=L_Conversion!$D$123),"-",
IF(AND(M54="07",N54&gt;=L_Conversion!$C$124,N54&lt;=L_Conversion!$D$124),"-",
IF(AND(M54="08",N54&gt;=L_Conversion!$C$125,N54&lt;=L_Conversion!$D$125),"-",
IF(AND(M54="09",N54&gt;=L_Conversion!$C$126,N54&lt;=L_Conversion!$D$126),"-",
IF(AND(M54="10",N54&gt;=L_Conversion!$C$127,N54&lt;=L_Conversion!$D$127),"-",
IF(AND(M54="11",N54&gt;=L_Conversion!$C$128,N54&lt;=L_Conversion!$D$128),"-",
IF(AND(M54="12",N54&gt;=L_Conversion!$C$129,N54&lt;=L_Conversion!$D$129),"-",
IF(AND(M54="13",N54&gt;=L_Conversion!$C$116,N54&lt;=L_Conversion!$D$116),"-",
IF(AND(M54="14",N54&gt;=L_Conversion!$C$117,N54&lt;=L_Conversion!$D$117),"-",
"PRIMER_DIA fuera de rango")))))))))))))))</f>
        <v>-</v>
      </c>
      <c r="AS54" s="94" t="str">
        <f t="shared" si="23"/>
        <v>-</v>
      </c>
      <c r="AT54" s="94" t="str">
        <f t="shared" si="24"/>
        <v>-</v>
      </c>
      <c r="AU54" s="94" t="str">
        <f t="shared" si="25"/>
        <v>-</v>
      </c>
      <c r="AV54" s="94" t="str">
        <f t="shared" si="26"/>
        <v>-</v>
      </c>
      <c r="AW54" s="94" t="str">
        <f t="shared" si="27"/>
        <v>-</v>
      </c>
      <c r="AX54" s="94" t="str">
        <f t="shared" si="28"/>
        <v>-</v>
      </c>
      <c r="AY54" s="94" t="str">
        <f t="shared" si="29"/>
        <v>-</v>
      </c>
      <c r="AZ54" s="94" t="str">
        <f t="shared" si="30"/>
        <v>-</v>
      </c>
      <c r="BA54" s="94" t="str">
        <f t="shared" si="31"/>
        <v>-</v>
      </c>
      <c r="BB54" s="94" t="str">
        <f t="shared" si="32"/>
        <v>-</v>
      </c>
      <c r="BC54" s="94" t="str">
        <f t="shared" si="33"/>
        <v>-</v>
      </c>
      <c r="BD54" s="94" t="str">
        <f t="shared" si="34"/>
        <v>-</v>
      </c>
      <c r="BE54" s="94" t="str">
        <f t="shared" si="35"/>
        <v>-</v>
      </c>
      <c r="BF54" s="94" t="str">
        <f t="shared" si="36"/>
        <v>-</v>
      </c>
      <c r="BG54" s="186" t="str">
        <f>IF(OR(AQ54="13",AQ54="14",AT54=8),"",IF(     AND(OR(AW54="AUTORIZADO", AW54="PENDIENTE", AW54="REDUCIDO", AW54="AMPLIADO"),AP54&lt;&gt;"HONORARIO" ), _xlfn.CONCAT(IF(AL54="X","H",AL54),"_",IF(OR(AT54=5,AT54=6),_xlfn.CONCAT(AT54,"A"),AT54),"_",VLOOKUP(AX54,Datos!$B$2:$C$5,2,TRUE)),""))</f>
        <v/>
      </c>
    </row>
    <row r="55" spans="1:59" x14ac:dyDescent="0.2">
      <c r="A55" s="19" t="s">
        <v>1193</v>
      </c>
      <c r="B55" s="19" t="s">
        <v>81</v>
      </c>
      <c r="C55" s="19">
        <v>17266500</v>
      </c>
      <c r="D55" s="19">
        <v>4</v>
      </c>
      <c r="E55" s="19" t="s">
        <v>1223</v>
      </c>
      <c r="F55" s="19" t="s">
        <v>1229</v>
      </c>
      <c r="G55" s="19" t="s">
        <v>1230</v>
      </c>
      <c r="H55" s="19" t="s">
        <v>1018</v>
      </c>
      <c r="I55" s="19" t="s">
        <v>655</v>
      </c>
      <c r="J55" s="19">
        <v>80</v>
      </c>
      <c r="K55" s="19" t="s">
        <v>556</v>
      </c>
      <c r="L55" s="19" t="s">
        <v>495</v>
      </c>
      <c r="M55" s="19" t="s">
        <v>13</v>
      </c>
      <c r="N55" s="19">
        <v>45814</v>
      </c>
      <c r="O55" s="19">
        <v>1</v>
      </c>
      <c r="P55" s="83">
        <v>1</v>
      </c>
      <c r="Q55" s="19" t="s">
        <v>23</v>
      </c>
      <c r="R55" s="19" t="s">
        <v>11</v>
      </c>
      <c r="S55" s="19" t="s">
        <v>23</v>
      </c>
      <c r="T55" s="19">
        <v>1</v>
      </c>
      <c r="U55" s="19" t="s">
        <v>11</v>
      </c>
      <c r="V55" s="19" t="s">
        <v>11</v>
      </c>
      <c r="W55" s="19" t="s">
        <v>11</v>
      </c>
      <c r="X55" s="19">
        <v>0</v>
      </c>
      <c r="Y55" s="19" t="s">
        <v>730</v>
      </c>
      <c r="Z55" s="19">
        <v>0</v>
      </c>
      <c r="AA55" s="19">
        <v>0</v>
      </c>
      <c r="AB55" s="19">
        <v>0</v>
      </c>
      <c r="AC55" s="186" t="str">
        <f>IF(OR(M55="13",M55="14",P55=8),"",IF(     AND(OR(S55="AUTORIZADO", S55="PENDIENTE", S55="REDUCIDO", S55="AMPLIADO"),L55&lt;&gt;"HONORARIO" ), _xlfn.CONCAT(IF(H55="X","H",H55),"_",IF(OR(P55=5,P55=6),_xlfn.CONCAT(P55,"A"),P55),"_",VLOOKUP(T55,Datos!$B$2:$C$5,2,TRUE)),""))</f>
        <v>M_1_[hasta 3]</v>
      </c>
      <c r="AD55" s="186">
        <f t="shared" si="10"/>
        <v>0</v>
      </c>
      <c r="AE55" s="90" t="str">
        <f t="shared" si="11"/>
        <v>-</v>
      </c>
      <c r="AF55" s="91" t="str">
        <f t="shared" si="12"/>
        <v>071901</v>
      </c>
      <c r="AG55" s="92"/>
      <c r="AH55" s="93" t="str">
        <f t="shared" si="13"/>
        <v>Comité Innova Chile</v>
      </c>
      <c r="AI55" s="90" t="str">
        <f t="shared" si="14"/>
        <v>-</v>
      </c>
      <c r="AJ55" s="90">
        <f t="shared" si="15"/>
        <v>4</v>
      </c>
      <c r="AK55" s="90" t="str">
        <f t="shared" si="16"/>
        <v>-</v>
      </c>
      <c r="AL55" s="90" t="str">
        <f t="shared" si="17"/>
        <v>Identifica este registro como MUJER</v>
      </c>
      <c r="AM55" s="90" t="str">
        <f t="shared" si="18"/>
        <v>-</v>
      </c>
      <c r="AN55" s="90" t="str">
        <f t="shared" si="19"/>
        <v>-</v>
      </c>
      <c r="AO55" s="90" t="str">
        <f t="shared" si="20"/>
        <v>-</v>
      </c>
      <c r="AP55" s="58" t="str">
        <f t="shared" si="21"/>
        <v>-</v>
      </c>
      <c r="AQ55" s="94" t="str">
        <f t="shared" si="22"/>
        <v>-</v>
      </c>
      <c r="AR55" s="94" t="str">
        <f>IF(N55="","PRIMER_DIA en blanco",
IF(AND(M55="01",N55&gt;=L_Conversion!$C$118,N55&lt;=L_Conversion!$D$118),"-",
IF(AND(M55="02",N55&gt;=L_Conversion!$C$119,N55&lt;=L_Conversion!$D$119),"-",
IF(AND(M55="03",N55&gt;=L_Conversion!$C$120,N55&lt;=L_Conversion!$D$120),"-",
IF(AND(M55="04",N55&gt;=L_Conversion!$C$121,N55&lt;=L_Conversion!$D$121),"-",
IF(AND(M55="05",N55&gt;=L_Conversion!$C$122,N55&lt;=L_Conversion!$D$122),"-",
IF(AND(M55="06",N55&gt;=L_Conversion!$C$123,N55&lt;=L_Conversion!$D$123),"-",
IF(AND(M55="07",N55&gt;=L_Conversion!$C$124,N55&lt;=L_Conversion!$D$124),"-",
IF(AND(M55="08",N55&gt;=L_Conversion!$C$125,N55&lt;=L_Conversion!$D$125),"-",
IF(AND(M55="09",N55&gt;=L_Conversion!$C$126,N55&lt;=L_Conversion!$D$126),"-",
IF(AND(M55="10",N55&gt;=L_Conversion!$C$127,N55&lt;=L_Conversion!$D$127),"-",
IF(AND(M55="11",N55&gt;=L_Conversion!$C$128,N55&lt;=L_Conversion!$D$128),"-",
IF(AND(M55="12",N55&gt;=L_Conversion!$C$129,N55&lt;=L_Conversion!$D$129),"-",
IF(AND(M55="13",N55&gt;=L_Conversion!$C$116,N55&lt;=L_Conversion!$D$116),"-",
IF(AND(M55="14",N55&gt;=L_Conversion!$C$117,N55&lt;=L_Conversion!$D$117),"-",
"PRIMER_DIA fuera de rango")))))))))))))))</f>
        <v>-</v>
      </c>
      <c r="AS55" s="94" t="str">
        <f t="shared" si="23"/>
        <v>-</v>
      </c>
      <c r="AT55" s="94" t="str">
        <f t="shared" si="24"/>
        <v>-</v>
      </c>
      <c r="AU55" s="94" t="str">
        <f t="shared" si="25"/>
        <v>-</v>
      </c>
      <c r="AV55" s="94" t="str">
        <f t="shared" si="26"/>
        <v>-</v>
      </c>
      <c r="AW55" s="94" t="str">
        <f t="shared" si="27"/>
        <v>-</v>
      </c>
      <c r="AX55" s="94" t="str">
        <f t="shared" si="28"/>
        <v>-</v>
      </c>
      <c r="AY55" s="94" t="str">
        <f t="shared" si="29"/>
        <v>-</v>
      </c>
      <c r="AZ55" s="94" t="str">
        <f t="shared" si="30"/>
        <v>-</v>
      </c>
      <c r="BA55" s="94" t="str">
        <f t="shared" si="31"/>
        <v>-</v>
      </c>
      <c r="BB55" s="94" t="str">
        <f t="shared" si="32"/>
        <v>-</v>
      </c>
      <c r="BC55" s="94" t="str">
        <f t="shared" si="33"/>
        <v>-</v>
      </c>
      <c r="BD55" s="94" t="str">
        <f t="shared" si="34"/>
        <v>-</v>
      </c>
      <c r="BE55" s="94" t="str">
        <f t="shared" si="35"/>
        <v>-</v>
      </c>
      <c r="BF55" s="94" t="str">
        <f t="shared" si="36"/>
        <v>-</v>
      </c>
      <c r="BG55" s="186" t="str">
        <f>IF(OR(AQ55="13",AQ55="14",AT55=8),"",IF(     AND(OR(AW55="AUTORIZADO", AW55="PENDIENTE", AW55="REDUCIDO", AW55="AMPLIADO"),AP55&lt;&gt;"HONORARIO" ), _xlfn.CONCAT(IF(AL55="X","H",AL55),"_",IF(OR(AT55=5,AT55=6),_xlfn.CONCAT(AT55,"A"),AT55),"_",VLOOKUP(AX55,Datos!$B$2:$C$5,2,TRUE)),""))</f>
        <v/>
      </c>
    </row>
    <row r="56" spans="1:59" x14ac:dyDescent="0.2">
      <c r="A56" s="19" t="s">
        <v>1193</v>
      </c>
      <c r="B56" s="19" t="s">
        <v>81</v>
      </c>
      <c r="C56" s="19">
        <v>16558770</v>
      </c>
      <c r="D56" s="19">
        <v>7</v>
      </c>
      <c r="E56" s="19" t="s">
        <v>1250</v>
      </c>
      <c r="F56" s="19" t="s">
        <v>1273</v>
      </c>
      <c r="G56" s="19" t="s">
        <v>1274</v>
      </c>
      <c r="H56" s="19" t="s">
        <v>1018</v>
      </c>
      <c r="I56" s="19" t="s">
        <v>653</v>
      </c>
      <c r="J56" s="19">
        <v>80</v>
      </c>
      <c r="K56" s="19" t="s">
        <v>556</v>
      </c>
      <c r="L56" s="19" t="s">
        <v>495</v>
      </c>
      <c r="M56" s="19" t="s">
        <v>13</v>
      </c>
      <c r="N56" s="19">
        <v>45817</v>
      </c>
      <c r="O56" s="19">
        <v>3</v>
      </c>
      <c r="P56" s="83">
        <v>1</v>
      </c>
      <c r="Q56" s="19" t="s">
        <v>23</v>
      </c>
      <c r="R56" s="19" t="s">
        <v>11</v>
      </c>
      <c r="S56" s="19" t="s">
        <v>23</v>
      </c>
      <c r="T56" s="19">
        <v>3</v>
      </c>
      <c r="U56" s="19" t="s">
        <v>11</v>
      </c>
      <c r="V56" s="19" t="s">
        <v>11</v>
      </c>
      <c r="W56" s="19" t="s">
        <v>11</v>
      </c>
      <c r="X56" s="19">
        <v>0</v>
      </c>
      <c r="Y56" s="19" t="s">
        <v>730</v>
      </c>
      <c r="Z56" s="19">
        <v>0</v>
      </c>
      <c r="AA56" s="19">
        <v>0</v>
      </c>
      <c r="AB56" s="19">
        <v>0</v>
      </c>
      <c r="AC56" s="186" t="str">
        <f>IF(OR(M56="13",M56="14",P56=8),"",IF(     AND(OR(S56="AUTORIZADO", S56="PENDIENTE", S56="REDUCIDO", S56="AMPLIADO"),L56&lt;&gt;"HONORARIO" ), _xlfn.CONCAT(IF(H56="X","H",H56),"_",IF(OR(P56=5,P56=6),_xlfn.CONCAT(P56,"A"),P56),"_",VLOOKUP(T56,Datos!$B$2:$C$5,2,TRUE)),""))</f>
        <v>M_1_[hasta 3]</v>
      </c>
      <c r="AD56" s="186">
        <f t="shared" si="10"/>
        <v>0</v>
      </c>
      <c r="AE56" s="90" t="str">
        <f t="shared" si="11"/>
        <v>-</v>
      </c>
      <c r="AF56" s="91" t="str">
        <f t="shared" si="12"/>
        <v>071901</v>
      </c>
      <c r="AG56" s="92"/>
      <c r="AH56" s="93" t="str">
        <f t="shared" si="13"/>
        <v>Comité Innova Chile</v>
      </c>
      <c r="AI56" s="90" t="str">
        <f t="shared" si="14"/>
        <v>-</v>
      </c>
      <c r="AJ56" s="90">
        <f t="shared" si="15"/>
        <v>7</v>
      </c>
      <c r="AK56" s="90" t="str">
        <f t="shared" si="16"/>
        <v>-</v>
      </c>
      <c r="AL56" s="90" t="str">
        <f t="shared" si="17"/>
        <v>Identifica este registro como MUJER</v>
      </c>
      <c r="AM56" s="90" t="str">
        <f t="shared" si="18"/>
        <v>-</v>
      </c>
      <c r="AN56" s="90" t="str">
        <f t="shared" si="19"/>
        <v>-</v>
      </c>
      <c r="AO56" s="90" t="str">
        <f t="shared" si="20"/>
        <v>-</v>
      </c>
      <c r="AP56" s="58" t="str">
        <f t="shared" si="21"/>
        <v>-</v>
      </c>
      <c r="AQ56" s="94" t="str">
        <f t="shared" si="22"/>
        <v>-</v>
      </c>
      <c r="AR56" s="94" t="str">
        <f>IF(N56="","PRIMER_DIA en blanco",
IF(AND(M56="01",N56&gt;=L_Conversion!$C$118,N56&lt;=L_Conversion!$D$118),"-",
IF(AND(M56="02",N56&gt;=L_Conversion!$C$119,N56&lt;=L_Conversion!$D$119),"-",
IF(AND(M56="03",N56&gt;=L_Conversion!$C$120,N56&lt;=L_Conversion!$D$120),"-",
IF(AND(M56="04",N56&gt;=L_Conversion!$C$121,N56&lt;=L_Conversion!$D$121),"-",
IF(AND(M56="05",N56&gt;=L_Conversion!$C$122,N56&lt;=L_Conversion!$D$122),"-",
IF(AND(M56="06",N56&gt;=L_Conversion!$C$123,N56&lt;=L_Conversion!$D$123),"-",
IF(AND(M56="07",N56&gt;=L_Conversion!$C$124,N56&lt;=L_Conversion!$D$124),"-",
IF(AND(M56="08",N56&gt;=L_Conversion!$C$125,N56&lt;=L_Conversion!$D$125),"-",
IF(AND(M56="09",N56&gt;=L_Conversion!$C$126,N56&lt;=L_Conversion!$D$126),"-",
IF(AND(M56="10",N56&gt;=L_Conversion!$C$127,N56&lt;=L_Conversion!$D$127),"-",
IF(AND(M56="11",N56&gt;=L_Conversion!$C$128,N56&lt;=L_Conversion!$D$128),"-",
IF(AND(M56="12",N56&gt;=L_Conversion!$C$129,N56&lt;=L_Conversion!$D$129),"-",
IF(AND(M56="13",N56&gt;=L_Conversion!$C$116,N56&lt;=L_Conversion!$D$116),"-",
IF(AND(M56="14",N56&gt;=L_Conversion!$C$117,N56&lt;=L_Conversion!$D$117),"-",
"PRIMER_DIA fuera de rango")))))))))))))))</f>
        <v>-</v>
      </c>
      <c r="AS56" s="94" t="str">
        <f t="shared" si="23"/>
        <v>-</v>
      </c>
      <c r="AT56" s="94" t="str">
        <f t="shared" si="24"/>
        <v>-</v>
      </c>
      <c r="AU56" s="94" t="str">
        <f t="shared" si="25"/>
        <v>-</v>
      </c>
      <c r="AV56" s="94" t="str">
        <f t="shared" si="26"/>
        <v>-</v>
      </c>
      <c r="AW56" s="94" t="str">
        <f t="shared" si="27"/>
        <v>-</v>
      </c>
      <c r="AX56" s="94" t="str">
        <f t="shared" si="28"/>
        <v>-</v>
      </c>
      <c r="AY56" s="94" t="str">
        <f t="shared" si="29"/>
        <v>-</v>
      </c>
      <c r="AZ56" s="94" t="str">
        <f t="shared" si="30"/>
        <v>-</v>
      </c>
      <c r="BA56" s="94" t="str">
        <f t="shared" si="31"/>
        <v>-</v>
      </c>
      <c r="BB56" s="94" t="str">
        <f t="shared" si="32"/>
        <v>-</v>
      </c>
      <c r="BC56" s="94" t="str">
        <f t="shared" si="33"/>
        <v>-</v>
      </c>
      <c r="BD56" s="94" t="str">
        <f t="shared" si="34"/>
        <v>-</v>
      </c>
      <c r="BE56" s="94" t="str">
        <f t="shared" si="35"/>
        <v>-</v>
      </c>
      <c r="BF56" s="94" t="str">
        <f t="shared" si="36"/>
        <v>-</v>
      </c>
      <c r="BG56" s="186" t="str">
        <f>IF(OR(AQ56="13",AQ56="14",AT56=8),"",IF(     AND(OR(AW56="AUTORIZADO", AW56="PENDIENTE", AW56="REDUCIDO", AW56="AMPLIADO"),AP56&lt;&gt;"HONORARIO" ), _xlfn.CONCAT(IF(AL56="X","H",AL56),"_",IF(OR(AT56=5,AT56=6),_xlfn.CONCAT(AT56,"A"),AT56),"_",VLOOKUP(AX56,Datos!$B$2:$C$5,2,TRUE)),""))</f>
        <v/>
      </c>
    </row>
    <row r="57" spans="1:59" x14ac:dyDescent="0.2">
      <c r="A57" s="19" t="s">
        <v>1193</v>
      </c>
      <c r="B57" s="19" t="s">
        <v>81</v>
      </c>
      <c r="C57" s="19">
        <v>19361760</v>
      </c>
      <c r="D57" s="19">
        <v>3</v>
      </c>
      <c r="E57" s="19" t="s">
        <v>1205</v>
      </c>
      <c r="F57" s="19" t="s">
        <v>1206</v>
      </c>
      <c r="G57" s="19" t="s">
        <v>1207</v>
      </c>
      <c r="H57" s="19" t="s">
        <v>1018</v>
      </c>
      <c r="I57" s="19" t="s">
        <v>653</v>
      </c>
      <c r="J57" s="19">
        <v>80</v>
      </c>
      <c r="K57" s="19" t="s">
        <v>556</v>
      </c>
      <c r="L57" s="19" t="s">
        <v>495</v>
      </c>
      <c r="M57" s="19" t="s">
        <v>13</v>
      </c>
      <c r="N57" s="19">
        <v>45819</v>
      </c>
      <c r="O57" s="19">
        <v>12</v>
      </c>
      <c r="P57" s="83">
        <v>1</v>
      </c>
      <c r="Q57" s="19" t="s">
        <v>23</v>
      </c>
      <c r="R57" s="19" t="s">
        <v>11</v>
      </c>
      <c r="S57" s="19" t="s">
        <v>23</v>
      </c>
      <c r="T57" s="19">
        <v>12</v>
      </c>
      <c r="U57" s="19" t="s">
        <v>11</v>
      </c>
      <c r="V57" s="19" t="s">
        <v>11</v>
      </c>
      <c r="W57" s="19" t="s">
        <v>11</v>
      </c>
      <c r="X57" s="19">
        <v>0</v>
      </c>
      <c r="Y57" s="19" t="s">
        <v>730</v>
      </c>
      <c r="Z57" s="19">
        <v>0</v>
      </c>
      <c r="AA57" s="19">
        <v>0</v>
      </c>
      <c r="AB57" s="19">
        <v>0</v>
      </c>
      <c r="AC57" s="186" t="str">
        <f>IF(OR(M57="13",M57="14",P57=8),"",IF(     AND(OR(S57="AUTORIZADO", S57="PENDIENTE", S57="REDUCIDO", S57="AMPLIADO"),L57&lt;&gt;"HONORARIO" ), _xlfn.CONCAT(IF(H57="X","H",H57),"_",IF(OR(P57=5,P57=6),_xlfn.CONCAT(P57,"A"),P57),"_",VLOOKUP(T57,Datos!$B$2:$C$5,2,TRUE)),""))</f>
        <v>M_1_[11 +]</v>
      </c>
      <c r="AD57" s="186">
        <f t="shared" si="10"/>
        <v>0</v>
      </c>
      <c r="AE57" s="90" t="str">
        <f t="shared" si="11"/>
        <v>-</v>
      </c>
      <c r="AF57" s="91" t="str">
        <f t="shared" si="12"/>
        <v>071901</v>
      </c>
      <c r="AG57" s="92"/>
      <c r="AH57" s="93" t="str">
        <f t="shared" si="13"/>
        <v>Comité Innova Chile</v>
      </c>
      <c r="AI57" s="90" t="str">
        <f t="shared" si="14"/>
        <v>-</v>
      </c>
      <c r="AJ57" s="90">
        <f t="shared" si="15"/>
        <v>3</v>
      </c>
      <c r="AK57" s="90" t="str">
        <f t="shared" si="16"/>
        <v>-</v>
      </c>
      <c r="AL57" s="90" t="str">
        <f t="shared" si="17"/>
        <v>Identifica este registro como MUJER</v>
      </c>
      <c r="AM57" s="90" t="str">
        <f t="shared" si="18"/>
        <v>-</v>
      </c>
      <c r="AN57" s="90" t="str">
        <f t="shared" si="19"/>
        <v>-</v>
      </c>
      <c r="AO57" s="90" t="str">
        <f t="shared" si="20"/>
        <v>-</v>
      </c>
      <c r="AP57" s="58" t="str">
        <f t="shared" si="21"/>
        <v>-</v>
      </c>
      <c r="AQ57" s="94" t="str">
        <f t="shared" si="22"/>
        <v>-</v>
      </c>
      <c r="AR57" s="94" t="str">
        <f>IF(N57="","PRIMER_DIA en blanco",
IF(AND(M57="01",N57&gt;=L_Conversion!$C$118,N57&lt;=L_Conversion!$D$118),"-",
IF(AND(M57="02",N57&gt;=L_Conversion!$C$119,N57&lt;=L_Conversion!$D$119),"-",
IF(AND(M57="03",N57&gt;=L_Conversion!$C$120,N57&lt;=L_Conversion!$D$120),"-",
IF(AND(M57="04",N57&gt;=L_Conversion!$C$121,N57&lt;=L_Conversion!$D$121),"-",
IF(AND(M57="05",N57&gt;=L_Conversion!$C$122,N57&lt;=L_Conversion!$D$122),"-",
IF(AND(M57="06",N57&gt;=L_Conversion!$C$123,N57&lt;=L_Conversion!$D$123),"-",
IF(AND(M57="07",N57&gt;=L_Conversion!$C$124,N57&lt;=L_Conversion!$D$124),"-",
IF(AND(M57="08",N57&gt;=L_Conversion!$C$125,N57&lt;=L_Conversion!$D$125),"-",
IF(AND(M57="09",N57&gt;=L_Conversion!$C$126,N57&lt;=L_Conversion!$D$126),"-",
IF(AND(M57="10",N57&gt;=L_Conversion!$C$127,N57&lt;=L_Conversion!$D$127),"-",
IF(AND(M57="11",N57&gt;=L_Conversion!$C$128,N57&lt;=L_Conversion!$D$128),"-",
IF(AND(M57="12",N57&gt;=L_Conversion!$C$129,N57&lt;=L_Conversion!$D$129),"-",
IF(AND(M57="13",N57&gt;=L_Conversion!$C$116,N57&lt;=L_Conversion!$D$116),"-",
IF(AND(M57="14",N57&gt;=L_Conversion!$C$117,N57&lt;=L_Conversion!$D$117),"-",
"PRIMER_DIA fuera de rango")))))))))))))))</f>
        <v>-</v>
      </c>
      <c r="AS57" s="94" t="str">
        <f t="shared" si="23"/>
        <v>-</v>
      </c>
      <c r="AT57" s="94" t="str">
        <f t="shared" si="24"/>
        <v>-</v>
      </c>
      <c r="AU57" s="94" t="str">
        <f t="shared" si="25"/>
        <v>-</v>
      </c>
      <c r="AV57" s="94" t="str">
        <f t="shared" si="26"/>
        <v>-</v>
      </c>
      <c r="AW57" s="94" t="str">
        <f t="shared" si="27"/>
        <v>-</v>
      </c>
      <c r="AX57" s="94" t="str">
        <f t="shared" si="28"/>
        <v>-</v>
      </c>
      <c r="AY57" s="94" t="str">
        <f t="shared" si="29"/>
        <v>-</v>
      </c>
      <c r="AZ57" s="94" t="str">
        <f t="shared" si="30"/>
        <v>-</v>
      </c>
      <c r="BA57" s="94" t="str">
        <f t="shared" si="31"/>
        <v>-</v>
      </c>
      <c r="BB57" s="94" t="str">
        <f t="shared" si="32"/>
        <v>-</v>
      </c>
      <c r="BC57" s="94" t="str">
        <f t="shared" si="33"/>
        <v>-</v>
      </c>
      <c r="BD57" s="94" t="str">
        <f t="shared" si="34"/>
        <v>-</v>
      </c>
      <c r="BE57" s="94" t="str">
        <f t="shared" si="35"/>
        <v>-</v>
      </c>
      <c r="BF57" s="94" t="str">
        <f t="shared" si="36"/>
        <v>-</v>
      </c>
      <c r="BG57" s="186" t="str">
        <f>IF(OR(AQ57="13",AQ57="14",AT57=8),"",IF(     AND(OR(AW57="AUTORIZADO", AW57="PENDIENTE", AW57="REDUCIDO", AW57="AMPLIADO"),AP57&lt;&gt;"HONORARIO" ), _xlfn.CONCAT(IF(AL57="X","H",AL57),"_",IF(OR(AT57=5,AT57=6),_xlfn.CONCAT(AT57,"A"),AT57),"_",VLOOKUP(AX57,Datos!$B$2:$C$5,2,TRUE)),""))</f>
        <v/>
      </c>
    </row>
    <row r="58" spans="1:59" x14ac:dyDescent="0.2">
      <c r="A58" s="19" t="s">
        <v>1193</v>
      </c>
      <c r="B58" s="19" t="s">
        <v>81</v>
      </c>
      <c r="C58" s="19">
        <v>16150023</v>
      </c>
      <c r="D58" s="19">
        <v>2</v>
      </c>
      <c r="E58" s="19" t="s">
        <v>1275</v>
      </c>
      <c r="F58" s="19" t="s">
        <v>1276</v>
      </c>
      <c r="G58" s="19" t="s">
        <v>1277</v>
      </c>
      <c r="H58" s="19" t="s">
        <v>1018</v>
      </c>
      <c r="I58" s="19" t="s">
        <v>653</v>
      </c>
      <c r="J58" s="19">
        <v>80</v>
      </c>
      <c r="K58" s="19" t="s">
        <v>556</v>
      </c>
      <c r="L58" s="19" t="s">
        <v>495</v>
      </c>
      <c r="M58" s="19" t="s">
        <v>13</v>
      </c>
      <c r="N58" s="19">
        <v>45820</v>
      </c>
      <c r="O58" s="19">
        <v>2</v>
      </c>
      <c r="P58" s="83">
        <v>1</v>
      </c>
      <c r="Q58" s="19" t="s">
        <v>23</v>
      </c>
      <c r="R58" s="19" t="s">
        <v>11</v>
      </c>
      <c r="S58" s="19" t="s">
        <v>23</v>
      </c>
      <c r="T58" s="19">
        <v>2</v>
      </c>
      <c r="U58" s="19" t="s">
        <v>11</v>
      </c>
      <c r="V58" s="19" t="s">
        <v>11</v>
      </c>
      <c r="W58" s="19" t="s">
        <v>11</v>
      </c>
      <c r="X58" s="19">
        <v>0</v>
      </c>
      <c r="Y58" s="19" t="s">
        <v>730</v>
      </c>
      <c r="Z58" s="19">
        <v>0</v>
      </c>
      <c r="AA58" s="19">
        <v>0</v>
      </c>
      <c r="AB58" s="19">
        <v>0</v>
      </c>
      <c r="AC58" s="186" t="str">
        <f>IF(OR(M58="13",M58="14",P58=8),"",IF(     AND(OR(S58="AUTORIZADO", S58="PENDIENTE", S58="REDUCIDO", S58="AMPLIADO"),L58&lt;&gt;"HONORARIO" ), _xlfn.CONCAT(IF(H58="X","H",H58),"_",IF(OR(P58=5,P58=6),_xlfn.CONCAT(P58,"A"),P58),"_",VLOOKUP(T58,Datos!$B$2:$C$5,2,TRUE)),""))</f>
        <v>M_1_[hasta 3]</v>
      </c>
      <c r="AD58" s="186">
        <f t="shared" si="10"/>
        <v>0</v>
      </c>
      <c r="AE58" s="90" t="str">
        <f t="shared" si="11"/>
        <v>-</v>
      </c>
      <c r="AF58" s="91" t="str">
        <f t="shared" si="12"/>
        <v>071901</v>
      </c>
      <c r="AG58" s="92"/>
      <c r="AH58" s="93" t="str">
        <f t="shared" si="13"/>
        <v>Comité Innova Chile</v>
      </c>
      <c r="AI58" s="90" t="str">
        <f t="shared" si="14"/>
        <v>-</v>
      </c>
      <c r="AJ58" s="90">
        <f t="shared" si="15"/>
        <v>2</v>
      </c>
      <c r="AK58" s="90" t="str">
        <f t="shared" si="16"/>
        <v>-</v>
      </c>
      <c r="AL58" s="90" t="str">
        <f t="shared" si="17"/>
        <v>Identifica este registro como MUJER</v>
      </c>
      <c r="AM58" s="90" t="str">
        <f t="shared" si="18"/>
        <v>-</v>
      </c>
      <c r="AN58" s="90" t="str">
        <f t="shared" si="19"/>
        <v>-</v>
      </c>
      <c r="AO58" s="90" t="str">
        <f t="shared" si="20"/>
        <v>-</v>
      </c>
      <c r="AP58" s="58" t="str">
        <f t="shared" si="21"/>
        <v>-</v>
      </c>
      <c r="AQ58" s="94" t="str">
        <f t="shared" si="22"/>
        <v>-</v>
      </c>
      <c r="AR58" s="94" t="str">
        <f>IF(N58="","PRIMER_DIA en blanco",
IF(AND(M58="01",N58&gt;=L_Conversion!$C$118,N58&lt;=L_Conversion!$D$118),"-",
IF(AND(M58="02",N58&gt;=L_Conversion!$C$119,N58&lt;=L_Conversion!$D$119),"-",
IF(AND(M58="03",N58&gt;=L_Conversion!$C$120,N58&lt;=L_Conversion!$D$120),"-",
IF(AND(M58="04",N58&gt;=L_Conversion!$C$121,N58&lt;=L_Conversion!$D$121),"-",
IF(AND(M58="05",N58&gt;=L_Conversion!$C$122,N58&lt;=L_Conversion!$D$122),"-",
IF(AND(M58="06",N58&gt;=L_Conversion!$C$123,N58&lt;=L_Conversion!$D$123),"-",
IF(AND(M58="07",N58&gt;=L_Conversion!$C$124,N58&lt;=L_Conversion!$D$124),"-",
IF(AND(M58="08",N58&gt;=L_Conversion!$C$125,N58&lt;=L_Conversion!$D$125),"-",
IF(AND(M58="09",N58&gt;=L_Conversion!$C$126,N58&lt;=L_Conversion!$D$126),"-",
IF(AND(M58="10",N58&gt;=L_Conversion!$C$127,N58&lt;=L_Conversion!$D$127),"-",
IF(AND(M58="11",N58&gt;=L_Conversion!$C$128,N58&lt;=L_Conversion!$D$128),"-",
IF(AND(M58="12",N58&gt;=L_Conversion!$C$129,N58&lt;=L_Conversion!$D$129),"-",
IF(AND(M58="13",N58&gt;=L_Conversion!$C$116,N58&lt;=L_Conversion!$D$116),"-",
IF(AND(M58="14",N58&gt;=L_Conversion!$C$117,N58&lt;=L_Conversion!$D$117),"-",
"PRIMER_DIA fuera de rango")))))))))))))))</f>
        <v>-</v>
      </c>
      <c r="AS58" s="94" t="str">
        <f t="shared" si="23"/>
        <v>-</v>
      </c>
      <c r="AT58" s="94" t="str">
        <f t="shared" si="24"/>
        <v>-</v>
      </c>
      <c r="AU58" s="94" t="str">
        <f t="shared" si="25"/>
        <v>-</v>
      </c>
      <c r="AV58" s="94" t="str">
        <f t="shared" si="26"/>
        <v>-</v>
      </c>
      <c r="AW58" s="94" t="str">
        <f t="shared" si="27"/>
        <v>-</v>
      </c>
      <c r="AX58" s="94" t="str">
        <f t="shared" si="28"/>
        <v>-</v>
      </c>
      <c r="AY58" s="94" t="str">
        <f t="shared" si="29"/>
        <v>-</v>
      </c>
      <c r="AZ58" s="94" t="str">
        <f t="shared" si="30"/>
        <v>-</v>
      </c>
      <c r="BA58" s="94" t="str">
        <f t="shared" si="31"/>
        <v>-</v>
      </c>
      <c r="BB58" s="94" t="str">
        <f t="shared" si="32"/>
        <v>-</v>
      </c>
      <c r="BC58" s="94" t="str">
        <f t="shared" si="33"/>
        <v>-</v>
      </c>
      <c r="BD58" s="94" t="str">
        <f t="shared" si="34"/>
        <v>-</v>
      </c>
      <c r="BE58" s="94" t="str">
        <f t="shared" si="35"/>
        <v>-</v>
      </c>
      <c r="BF58" s="94" t="str">
        <f t="shared" si="36"/>
        <v>-</v>
      </c>
      <c r="BG58" s="186" t="str">
        <f>IF(OR(AQ58="13",AQ58="14",AT58=8),"",IF(     AND(OR(AW58="AUTORIZADO", AW58="PENDIENTE", AW58="REDUCIDO", AW58="AMPLIADO"),AP58&lt;&gt;"HONORARIO" ), _xlfn.CONCAT(IF(AL58="X","H",AL58),"_",IF(OR(AT58=5,AT58=6),_xlfn.CONCAT(AT58,"A"),AT58),"_",VLOOKUP(AX58,Datos!$B$2:$C$5,2,TRUE)),""))</f>
        <v/>
      </c>
    </row>
    <row r="59" spans="1:59" x14ac:dyDescent="0.2">
      <c r="A59" s="19" t="s">
        <v>1193</v>
      </c>
      <c r="B59" s="19" t="s">
        <v>81</v>
      </c>
      <c r="C59" s="19">
        <v>10667993</v>
      </c>
      <c r="D59" s="19">
        <v>2</v>
      </c>
      <c r="E59" s="19" t="s">
        <v>1197</v>
      </c>
      <c r="F59" s="19" t="s">
        <v>1198</v>
      </c>
      <c r="G59" s="19" t="s">
        <v>1199</v>
      </c>
      <c r="H59" s="19" t="s">
        <v>1018</v>
      </c>
      <c r="I59" s="19" t="s">
        <v>653</v>
      </c>
      <c r="J59" s="19">
        <v>80</v>
      </c>
      <c r="K59" s="19" t="s">
        <v>560</v>
      </c>
      <c r="L59" s="19" t="s">
        <v>495</v>
      </c>
      <c r="M59" s="19" t="s">
        <v>13</v>
      </c>
      <c r="N59" s="19">
        <v>45822</v>
      </c>
      <c r="O59" s="19">
        <v>15</v>
      </c>
      <c r="P59" s="83">
        <v>1</v>
      </c>
      <c r="Q59" s="19" t="s">
        <v>23</v>
      </c>
      <c r="R59" s="19" t="s">
        <v>11</v>
      </c>
      <c r="S59" s="19" t="s">
        <v>23</v>
      </c>
      <c r="T59" s="19">
        <v>15</v>
      </c>
      <c r="U59" s="19" t="s">
        <v>11</v>
      </c>
      <c r="V59" s="19" t="s">
        <v>11</v>
      </c>
      <c r="W59" s="19" t="s">
        <v>11</v>
      </c>
      <c r="X59" s="19">
        <v>0</v>
      </c>
      <c r="Y59" s="19" t="s">
        <v>730</v>
      </c>
      <c r="Z59" s="19">
        <v>0</v>
      </c>
      <c r="AA59" s="19">
        <v>0</v>
      </c>
      <c r="AB59" s="19">
        <v>0</v>
      </c>
      <c r="AC59" s="186" t="str">
        <f>IF(OR(M59="13",M59="14",P59=8),"",IF(     AND(OR(S59="AUTORIZADO", S59="PENDIENTE", S59="REDUCIDO", S59="AMPLIADO"),L59&lt;&gt;"HONORARIO" ), _xlfn.CONCAT(IF(H59="X","H",H59),"_",IF(OR(P59=5,P59=6),_xlfn.CONCAT(P59,"A"),P59),"_",VLOOKUP(T59,Datos!$B$2:$C$5,2,TRUE)),""))</f>
        <v>M_1_[11 +]</v>
      </c>
      <c r="AD59" s="186">
        <f t="shared" si="10"/>
        <v>0</v>
      </c>
      <c r="AE59" s="90" t="str">
        <f t="shared" si="11"/>
        <v>-</v>
      </c>
      <c r="AF59" s="91" t="str">
        <f t="shared" si="12"/>
        <v>071901</v>
      </c>
      <c r="AG59" s="92"/>
      <c r="AH59" s="93" t="str">
        <f t="shared" si="13"/>
        <v>Comité Innova Chile</v>
      </c>
      <c r="AI59" s="90" t="str">
        <f t="shared" si="14"/>
        <v>-</v>
      </c>
      <c r="AJ59" s="90">
        <f t="shared" si="15"/>
        <v>2</v>
      </c>
      <c r="AK59" s="90" t="str">
        <f t="shared" si="16"/>
        <v>-</v>
      </c>
      <c r="AL59" s="90" t="str">
        <f t="shared" si="17"/>
        <v>Identifica este registro como MUJER</v>
      </c>
      <c r="AM59" s="90" t="str">
        <f t="shared" si="18"/>
        <v>-</v>
      </c>
      <c r="AN59" s="90" t="str">
        <f t="shared" si="19"/>
        <v>-</v>
      </c>
      <c r="AO59" s="90" t="str">
        <f t="shared" si="20"/>
        <v>-</v>
      </c>
      <c r="AP59" s="58" t="str">
        <f t="shared" si="21"/>
        <v>-</v>
      </c>
      <c r="AQ59" s="94" t="str">
        <f t="shared" si="22"/>
        <v>-</v>
      </c>
      <c r="AR59" s="94" t="str">
        <f>IF(N59="","PRIMER_DIA en blanco",
IF(AND(M59="01",N59&gt;=L_Conversion!$C$118,N59&lt;=L_Conversion!$D$118),"-",
IF(AND(M59="02",N59&gt;=L_Conversion!$C$119,N59&lt;=L_Conversion!$D$119),"-",
IF(AND(M59="03",N59&gt;=L_Conversion!$C$120,N59&lt;=L_Conversion!$D$120),"-",
IF(AND(M59="04",N59&gt;=L_Conversion!$C$121,N59&lt;=L_Conversion!$D$121),"-",
IF(AND(M59="05",N59&gt;=L_Conversion!$C$122,N59&lt;=L_Conversion!$D$122),"-",
IF(AND(M59="06",N59&gt;=L_Conversion!$C$123,N59&lt;=L_Conversion!$D$123),"-",
IF(AND(M59="07",N59&gt;=L_Conversion!$C$124,N59&lt;=L_Conversion!$D$124),"-",
IF(AND(M59="08",N59&gt;=L_Conversion!$C$125,N59&lt;=L_Conversion!$D$125),"-",
IF(AND(M59="09",N59&gt;=L_Conversion!$C$126,N59&lt;=L_Conversion!$D$126),"-",
IF(AND(M59="10",N59&gt;=L_Conversion!$C$127,N59&lt;=L_Conversion!$D$127),"-",
IF(AND(M59="11",N59&gt;=L_Conversion!$C$128,N59&lt;=L_Conversion!$D$128),"-",
IF(AND(M59="12",N59&gt;=L_Conversion!$C$129,N59&lt;=L_Conversion!$D$129),"-",
IF(AND(M59="13",N59&gt;=L_Conversion!$C$116,N59&lt;=L_Conversion!$D$116),"-",
IF(AND(M59="14",N59&gt;=L_Conversion!$C$117,N59&lt;=L_Conversion!$D$117),"-",
"PRIMER_DIA fuera de rango")))))))))))))))</f>
        <v>-</v>
      </c>
      <c r="AS59" s="94" t="str">
        <f t="shared" si="23"/>
        <v>-</v>
      </c>
      <c r="AT59" s="94" t="str">
        <f t="shared" si="24"/>
        <v>-</v>
      </c>
      <c r="AU59" s="94" t="str">
        <f t="shared" si="25"/>
        <v>-</v>
      </c>
      <c r="AV59" s="94" t="str">
        <f t="shared" si="26"/>
        <v>-</v>
      </c>
      <c r="AW59" s="94" t="str">
        <f t="shared" si="27"/>
        <v>-</v>
      </c>
      <c r="AX59" s="94" t="str">
        <f t="shared" si="28"/>
        <v>-</v>
      </c>
      <c r="AY59" s="94" t="str">
        <f t="shared" si="29"/>
        <v>-</v>
      </c>
      <c r="AZ59" s="94" t="str">
        <f t="shared" si="30"/>
        <v>-</v>
      </c>
      <c r="BA59" s="94" t="str">
        <f t="shared" si="31"/>
        <v>-</v>
      </c>
      <c r="BB59" s="94" t="str">
        <f t="shared" si="32"/>
        <v>-</v>
      </c>
      <c r="BC59" s="94" t="str">
        <f t="shared" si="33"/>
        <v>-</v>
      </c>
      <c r="BD59" s="94" t="str">
        <f t="shared" si="34"/>
        <v>-</v>
      </c>
      <c r="BE59" s="94" t="str">
        <f t="shared" si="35"/>
        <v>-</v>
      </c>
      <c r="BF59" s="94" t="str">
        <f t="shared" si="36"/>
        <v>-</v>
      </c>
      <c r="BG59" s="186" t="str">
        <f>IF(OR(AQ59="13",AQ59="14",AT59=8),"",IF(     AND(OR(AW59="AUTORIZADO", AW59="PENDIENTE", AW59="REDUCIDO", AW59="AMPLIADO"),AP59&lt;&gt;"HONORARIO" ), _xlfn.CONCAT(IF(AL59="X","H",AL59),"_",IF(OR(AT59=5,AT59=6),_xlfn.CONCAT(AT59,"A"),AT59),"_",VLOOKUP(AX59,Datos!$B$2:$C$5,2,TRUE)),""))</f>
        <v/>
      </c>
    </row>
    <row r="60" spans="1:59" x14ac:dyDescent="0.2">
      <c r="A60" s="19" t="s">
        <v>1193</v>
      </c>
      <c r="B60" s="19" t="s">
        <v>81</v>
      </c>
      <c r="C60" s="19">
        <v>10361279</v>
      </c>
      <c r="D60" s="19">
        <v>9</v>
      </c>
      <c r="E60" s="19" t="s">
        <v>1278</v>
      </c>
      <c r="F60" s="19" t="s">
        <v>1198</v>
      </c>
      <c r="G60" s="19" t="s">
        <v>1279</v>
      </c>
      <c r="H60" s="19" t="s">
        <v>654</v>
      </c>
      <c r="I60" s="19" t="s">
        <v>653</v>
      </c>
      <c r="J60" s="19">
        <v>80</v>
      </c>
      <c r="K60" s="19" t="s">
        <v>556</v>
      </c>
      <c r="L60" s="19" t="s">
        <v>495</v>
      </c>
      <c r="M60" s="19" t="s">
        <v>13</v>
      </c>
      <c r="N60" s="19">
        <v>45824</v>
      </c>
      <c r="O60" s="19">
        <v>5</v>
      </c>
      <c r="P60" s="83">
        <v>1</v>
      </c>
      <c r="Q60" s="19" t="s">
        <v>23</v>
      </c>
      <c r="R60" s="19" t="s">
        <v>11</v>
      </c>
      <c r="S60" s="19" t="s">
        <v>23</v>
      </c>
      <c r="T60" s="19">
        <v>5</v>
      </c>
      <c r="U60" s="19" t="s">
        <v>11</v>
      </c>
      <c r="V60" s="19" t="s">
        <v>11</v>
      </c>
      <c r="W60" s="19" t="s">
        <v>11</v>
      </c>
      <c r="X60" s="19">
        <v>0</v>
      </c>
      <c r="Y60" s="19" t="s">
        <v>730</v>
      </c>
      <c r="Z60" s="19">
        <v>0</v>
      </c>
      <c r="AA60" s="19">
        <v>0</v>
      </c>
      <c r="AB60" s="19">
        <v>0</v>
      </c>
      <c r="AC60" s="186" t="str">
        <f>IF(OR(M60="13",M60="14",P60=8),"",IF(     AND(OR(S60="AUTORIZADO", S60="PENDIENTE", S60="REDUCIDO", S60="AMPLIADO"),L60&lt;&gt;"HONORARIO" ), _xlfn.CONCAT(IF(H60="X","H",H60),"_",IF(OR(P60=5,P60=6),_xlfn.CONCAT(P60,"A"),P60),"_",VLOOKUP(T60,Datos!$B$2:$C$5,2,TRUE)),""))</f>
        <v>H_1_[4 a 10]</v>
      </c>
      <c r="AD60" s="186">
        <f t="shared" si="10"/>
        <v>0</v>
      </c>
      <c r="AE60" s="90" t="str">
        <f t="shared" si="11"/>
        <v>-</v>
      </c>
      <c r="AF60" s="91" t="str">
        <f t="shared" si="12"/>
        <v>071901</v>
      </c>
      <c r="AG60" s="92"/>
      <c r="AH60" s="93" t="str">
        <f t="shared" si="13"/>
        <v>Comité Innova Chile</v>
      </c>
      <c r="AI60" s="90" t="str">
        <f t="shared" si="14"/>
        <v>-</v>
      </c>
      <c r="AJ60" s="90">
        <f t="shared" si="15"/>
        <v>9</v>
      </c>
      <c r="AK60" s="90" t="str">
        <f t="shared" si="16"/>
        <v>-</v>
      </c>
      <c r="AL60" s="90" t="str">
        <f t="shared" si="17"/>
        <v>Identifica este registro como HOMBRE</v>
      </c>
      <c r="AM60" s="90" t="str">
        <f t="shared" si="18"/>
        <v>-</v>
      </c>
      <c r="AN60" s="90" t="str">
        <f t="shared" si="19"/>
        <v>-</v>
      </c>
      <c r="AO60" s="90" t="str">
        <f t="shared" si="20"/>
        <v>-</v>
      </c>
      <c r="AP60" s="58" t="str">
        <f t="shared" si="21"/>
        <v>-</v>
      </c>
      <c r="AQ60" s="94" t="str">
        <f t="shared" si="22"/>
        <v>-</v>
      </c>
      <c r="AR60" s="94" t="str">
        <f>IF(N60="","PRIMER_DIA en blanco",
IF(AND(M60="01",N60&gt;=L_Conversion!$C$118,N60&lt;=L_Conversion!$D$118),"-",
IF(AND(M60="02",N60&gt;=L_Conversion!$C$119,N60&lt;=L_Conversion!$D$119),"-",
IF(AND(M60="03",N60&gt;=L_Conversion!$C$120,N60&lt;=L_Conversion!$D$120),"-",
IF(AND(M60="04",N60&gt;=L_Conversion!$C$121,N60&lt;=L_Conversion!$D$121),"-",
IF(AND(M60="05",N60&gt;=L_Conversion!$C$122,N60&lt;=L_Conversion!$D$122),"-",
IF(AND(M60="06",N60&gt;=L_Conversion!$C$123,N60&lt;=L_Conversion!$D$123),"-",
IF(AND(M60="07",N60&gt;=L_Conversion!$C$124,N60&lt;=L_Conversion!$D$124),"-",
IF(AND(M60="08",N60&gt;=L_Conversion!$C$125,N60&lt;=L_Conversion!$D$125),"-",
IF(AND(M60="09",N60&gt;=L_Conversion!$C$126,N60&lt;=L_Conversion!$D$126),"-",
IF(AND(M60="10",N60&gt;=L_Conversion!$C$127,N60&lt;=L_Conversion!$D$127),"-",
IF(AND(M60="11",N60&gt;=L_Conversion!$C$128,N60&lt;=L_Conversion!$D$128),"-",
IF(AND(M60="12",N60&gt;=L_Conversion!$C$129,N60&lt;=L_Conversion!$D$129),"-",
IF(AND(M60="13",N60&gt;=L_Conversion!$C$116,N60&lt;=L_Conversion!$D$116),"-",
IF(AND(M60="14",N60&gt;=L_Conversion!$C$117,N60&lt;=L_Conversion!$D$117),"-",
"PRIMER_DIA fuera de rango")))))))))))))))</f>
        <v>-</v>
      </c>
      <c r="AS60" s="94" t="str">
        <f t="shared" si="23"/>
        <v>-</v>
      </c>
      <c r="AT60" s="94" t="str">
        <f t="shared" si="24"/>
        <v>-</v>
      </c>
      <c r="AU60" s="94" t="str">
        <f t="shared" si="25"/>
        <v>-</v>
      </c>
      <c r="AV60" s="94" t="str">
        <f t="shared" si="26"/>
        <v>-</v>
      </c>
      <c r="AW60" s="94" t="str">
        <f t="shared" si="27"/>
        <v>-</v>
      </c>
      <c r="AX60" s="94" t="str">
        <f t="shared" si="28"/>
        <v>-</v>
      </c>
      <c r="AY60" s="94" t="str">
        <f t="shared" si="29"/>
        <v>-</v>
      </c>
      <c r="AZ60" s="94" t="str">
        <f t="shared" si="30"/>
        <v>-</v>
      </c>
      <c r="BA60" s="94" t="str">
        <f t="shared" si="31"/>
        <v>-</v>
      </c>
      <c r="BB60" s="94" t="str">
        <f t="shared" si="32"/>
        <v>-</v>
      </c>
      <c r="BC60" s="94" t="str">
        <f t="shared" si="33"/>
        <v>-</v>
      </c>
      <c r="BD60" s="94" t="str">
        <f t="shared" si="34"/>
        <v>-</v>
      </c>
      <c r="BE60" s="94" t="str">
        <f t="shared" si="35"/>
        <v>-</v>
      </c>
      <c r="BF60" s="94" t="str">
        <f t="shared" si="36"/>
        <v>-</v>
      </c>
      <c r="BG60" s="186" t="str">
        <f>IF(OR(AQ60="13",AQ60="14",AT60=8),"",IF(     AND(OR(AW60="AUTORIZADO", AW60="PENDIENTE", AW60="REDUCIDO", AW60="AMPLIADO"),AP60&lt;&gt;"HONORARIO" ), _xlfn.CONCAT(IF(AL60="X","H",AL60),"_",IF(OR(AT60=5,AT60=6),_xlfn.CONCAT(AT60,"A"),AT60),"_",VLOOKUP(AX60,Datos!$B$2:$C$5,2,TRUE)),""))</f>
        <v/>
      </c>
    </row>
    <row r="61" spans="1:59" x14ac:dyDescent="0.2">
      <c r="A61" s="19" t="s">
        <v>1193</v>
      </c>
      <c r="B61" s="19" t="s">
        <v>81</v>
      </c>
      <c r="C61" s="19">
        <v>19879616</v>
      </c>
      <c r="D61" s="19">
        <v>6</v>
      </c>
      <c r="E61" s="19" t="s">
        <v>1280</v>
      </c>
      <c r="F61" s="19" t="s">
        <v>1281</v>
      </c>
      <c r="G61" s="19" t="s">
        <v>1282</v>
      </c>
      <c r="H61" s="19" t="s">
        <v>654</v>
      </c>
      <c r="I61" s="19" t="s">
        <v>653</v>
      </c>
      <c r="J61" s="19">
        <v>80</v>
      </c>
      <c r="K61" s="19" t="s">
        <v>556</v>
      </c>
      <c r="L61" s="19" t="s">
        <v>495</v>
      </c>
      <c r="M61" s="19" t="s">
        <v>13</v>
      </c>
      <c r="N61" s="19">
        <v>45825</v>
      </c>
      <c r="O61" s="19">
        <v>3</v>
      </c>
      <c r="P61" s="83">
        <v>1</v>
      </c>
      <c r="Q61" s="19" t="s">
        <v>23</v>
      </c>
      <c r="R61" s="19" t="s">
        <v>11</v>
      </c>
      <c r="S61" s="19" t="s">
        <v>23</v>
      </c>
      <c r="T61" s="19">
        <v>3</v>
      </c>
      <c r="U61" s="19" t="s">
        <v>11</v>
      </c>
      <c r="V61" s="19" t="s">
        <v>11</v>
      </c>
      <c r="W61" s="19" t="s">
        <v>11</v>
      </c>
      <c r="X61" s="19">
        <v>0</v>
      </c>
      <c r="Y61" s="19" t="s">
        <v>730</v>
      </c>
      <c r="Z61" s="19">
        <v>0</v>
      </c>
      <c r="AA61" s="19">
        <v>0</v>
      </c>
      <c r="AB61" s="19">
        <v>0</v>
      </c>
      <c r="AC61" s="186" t="str">
        <f>IF(OR(M61="13",M61="14",P61=8),"",IF(     AND(OR(S61="AUTORIZADO", S61="PENDIENTE", S61="REDUCIDO", S61="AMPLIADO"),L61&lt;&gt;"HONORARIO" ), _xlfn.CONCAT(IF(H61="X","H",H61),"_",IF(OR(P61=5,P61=6),_xlfn.CONCAT(P61,"A"),P61),"_",VLOOKUP(T61,Datos!$B$2:$C$5,2,TRUE)),""))</f>
        <v>H_1_[hasta 3]</v>
      </c>
      <c r="AD61" s="186">
        <f t="shared" si="10"/>
        <v>0</v>
      </c>
      <c r="AE61" s="90" t="str">
        <f t="shared" si="11"/>
        <v>-</v>
      </c>
      <c r="AF61" s="91" t="str">
        <f t="shared" si="12"/>
        <v>071901</v>
      </c>
      <c r="AG61" s="92"/>
      <c r="AH61" s="93" t="str">
        <f t="shared" si="13"/>
        <v>Comité Innova Chile</v>
      </c>
      <c r="AI61" s="90" t="str">
        <f t="shared" si="14"/>
        <v>-</v>
      </c>
      <c r="AJ61" s="90">
        <f t="shared" si="15"/>
        <v>6</v>
      </c>
      <c r="AK61" s="90" t="str">
        <f t="shared" si="16"/>
        <v>-</v>
      </c>
      <c r="AL61" s="90" t="str">
        <f t="shared" si="17"/>
        <v>Identifica este registro como HOMBRE</v>
      </c>
      <c r="AM61" s="90" t="str">
        <f t="shared" si="18"/>
        <v>-</v>
      </c>
      <c r="AN61" s="90" t="str">
        <f t="shared" si="19"/>
        <v>-</v>
      </c>
      <c r="AO61" s="90" t="str">
        <f t="shared" si="20"/>
        <v>-</v>
      </c>
      <c r="AP61" s="58" t="str">
        <f t="shared" si="21"/>
        <v>-</v>
      </c>
      <c r="AQ61" s="94" t="str">
        <f t="shared" si="22"/>
        <v>-</v>
      </c>
      <c r="AR61" s="94" t="str">
        <f>IF(N61="","PRIMER_DIA en blanco",
IF(AND(M61="01",N61&gt;=L_Conversion!$C$118,N61&lt;=L_Conversion!$D$118),"-",
IF(AND(M61="02",N61&gt;=L_Conversion!$C$119,N61&lt;=L_Conversion!$D$119),"-",
IF(AND(M61="03",N61&gt;=L_Conversion!$C$120,N61&lt;=L_Conversion!$D$120),"-",
IF(AND(M61="04",N61&gt;=L_Conversion!$C$121,N61&lt;=L_Conversion!$D$121),"-",
IF(AND(M61="05",N61&gt;=L_Conversion!$C$122,N61&lt;=L_Conversion!$D$122),"-",
IF(AND(M61="06",N61&gt;=L_Conversion!$C$123,N61&lt;=L_Conversion!$D$123),"-",
IF(AND(M61="07",N61&gt;=L_Conversion!$C$124,N61&lt;=L_Conversion!$D$124),"-",
IF(AND(M61="08",N61&gt;=L_Conversion!$C$125,N61&lt;=L_Conversion!$D$125),"-",
IF(AND(M61="09",N61&gt;=L_Conversion!$C$126,N61&lt;=L_Conversion!$D$126),"-",
IF(AND(M61="10",N61&gt;=L_Conversion!$C$127,N61&lt;=L_Conversion!$D$127),"-",
IF(AND(M61="11",N61&gt;=L_Conversion!$C$128,N61&lt;=L_Conversion!$D$128),"-",
IF(AND(M61="12",N61&gt;=L_Conversion!$C$129,N61&lt;=L_Conversion!$D$129),"-",
IF(AND(M61="13",N61&gt;=L_Conversion!$C$116,N61&lt;=L_Conversion!$D$116),"-",
IF(AND(M61="14",N61&gt;=L_Conversion!$C$117,N61&lt;=L_Conversion!$D$117),"-",
"PRIMER_DIA fuera de rango")))))))))))))))</f>
        <v>-</v>
      </c>
      <c r="AS61" s="94" t="str">
        <f t="shared" si="23"/>
        <v>-</v>
      </c>
      <c r="AT61" s="94" t="str">
        <f t="shared" si="24"/>
        <v>-</v>
      </c>
      <c r="AU61" s="94" t="str">
        <f t="shared" si="25"/>
        <v>-</v>
      </c>
      <c r="AV61" s="94" t="str">
        <f t="shared" si="26"/>
        <v>-</v>
      </c>
      <c r="AW61" s="94" t="str">
        <f t="shared" si="27"/>
        <v>-</v>
      </c>
      <c r="AX61" s="94" t="str">
        <f t="shared" si="28"/>
        <v>-</v>
      </c>
      <c r="AY61" s="94" t="str">
        <f t="shared" si="29"/>
        <v>-</v>
      </c>
      <c r="AZ61" s="94" t="str">
        <f t="shared" si="30"/>
        <v>-</v>
      </c>
      <c r="BA61" s="94" t="str">
        <f t="shared" si="31"/>
        <v>-</v>
      </c>
      <c r="BB61" s="94" t="str">
        <f t="shared" si="32"/>
        <v>-</v>
      </c>
      <c r="BC61" s="94" t="str">
        <f t="shared" si="33"/>
        <v>-</v>
      </c>
      <c r="BD61" s="94" t="str">
        <f t="shared" si="34"/>
        <v>-</v>
      </c>
      <c r="BE61" s="94" t="str">
        <f t="shared" si="35"/>
        <v>-</v>
      </c>
      <c r="BF61" s="94" t="str">
        <f t="shared" si="36"/>
        <v>-</v>
      </c>
      <c r="BG61" s="186" t="str">
        <f>IF(OR(AQ61="13",AQ61="14",AT61=8),"",IF(     AND(OR(AW61="AUTORIZADO", AW61="PENDIENTE", AW61="REDUCIDO", AW61="AMPLIADO"),AP61&lt;&gt;"HONORARIO" ), _xlfn.CONCAT(IF(AL61="X","H",AL61),"_",IF(OR(AT61=5,AT61=6),_xlfn.CONCAT(AT61,"A"),AT61),"_",VLOOKUP(AX61,Datos!$B$2:$C$5,2,TRUE)),""))</f>
        <v/>
      </c>
    </row>
    <row r="62" spans="1:59" x14ac:dyDescent="0.2">
      <c r="A62" s="19" t="s">
        <v>1193</v>
      </c>
      <c r="B62" s="19" t="s">
        <v>81</v>
      </c>
      <c r="C62" s="19">
        <v>18799796</v>
      </c>
      <c r="D62" s="19">
        <v>8</v>
      </c>
      <c r="E62" s="19" t="s">
        <v>1223</v>
      </c>
      <c r="F62" s="19" t="s">
        <v>1224</v>
      </c>
      <c r="G62" s="19" t="s">
        <v>1225</v>
      </c>
      <c r="H62" s="19" t="s">
        <v>1018</v>
      </c>
      <c r="I62" s="19" t="s">
        <v>653</v>
      </c>
      <c r="J62" s="19">
        <v>80</v>
      </c>
      <c r="K62" s="19" t="s">
        <v>556</v>
      </c>
      <c r="L62" s="19" t="s">
        <v>495</v>
      </c>
      <c r="M62" s="19" t="s">
        <v>13</v>
      </c>
      <c r="N62" s="19">
        <v>45831</v>
      </c>
      <c r="O62" s="19">
        <v>3</v>
      </c>
      <c r="P62" s="83">
        <v>1</v>
      </c>
      <c r="Q62" s="19" t="s">
        <v>23</v>
      </c>
      <c r="R62" s="19" t="s">
        <v>11</v>
      </c>
      <c r="S62" s="19" t="s">
        <v>23</v>
      </c>
      <c r="T62" s="19">
        <v>3</v>
      </c>
      <c r="U62" s="19" t="s">
        <v>11</v>
      </c>
      <c r="V62" s="19" t="s">
        <v>11</v>
      </c>
      <c r="W62" s="19" t="s">
        <v>11</v>
      </c>
      <c r="X62" s="19">
        <v>0</v>
      </c>
      <c r="Y62" s="19" t="s">
        <v>730</v>
      </c>
      <c r="Z62" s="19">
        <v>0</v>
      </c>
      <c r="AA62" s="19">
        <v>0</v>
      </c>
      <c r="AB62" s="19">
        <v>0</v>
      </c>
      <c r="AC62" s="186" t="str">
        <f>IF(OR(M62="13",M62="14",P62=8),"",IF(     AND(OR(S62="AUTORIZADO", S62="PENDIENTE", S62="REDUCIDO", S62="AMPLIADO"),L62&lt;&gt;"HONORARIO" ), _xlfn.CONCAT(IF(H62="X","H",H62),"_",IF(OR(P62=5,P62=6),_xlfn.CONCAT(P62,"A"),P62),"_",VLOOKUP(T62,Datos!$B$2:$C$5,2,TRUE)),""))</f>
        <v>M_1_[hasta 3]</v>
      </c>
      <c r="AD62" s="186">
        <f t="shared" si="10"/>
        <v>0</v>
      </c>
      <c r="AE62" s="90" t="str">
        <f t="shared" si="11"/>
        <v>-</v>
      </c>
      <c r="AF62" s="91" t="str">
        <f t="shared" si="12"/>
        <v>071901</v>
      </c>
      <c r="AG62" s="92"/>
      <c r="AH62" s="93" t="str">
        <f t="shared" si="13"/>
        <v>Comité Innova Chile</v>
      </c>
      <c r="AI62" s="90" t="str">
        <f t="shared" si="14"/>
        <v>-</v>
      </c>
      <c r="AJ62" s="90">
        <f t="shared" si="15"/>
        <v>8</v>
      </c>
      <c r="AK62" s="90" t="str">
        <f t="shared" si="16"/>
        <v>-</v>
      </c>
      <c r="AL62" s="90" t="str">
        <f t="shared" si="17"/>
        <v>Identifica este registro como MUJER</v>
      </c>
      <c r="AM62" s="90" t="str">
        <f t="shared" si="18"/>
        <v>-</v>
      </c>
      <c r="AN62" s="90" t="str">
        <f t="shared" si="19"/>
        <v>-</v>
      </c>
      <c r="AO62" s="90" t="str">
        <f t="shared" si="20"/>
        <v>-</v>
      </c>
      <c r="AP62" s="58" t="str">
        <f t="shared" si="21"/>
        <v>-</v>
      </c>
      <c r="AQ62" s="94" t="str">
        <f t="shared" si="22"/>
        <v>-</v>
      </c>
      <c r="AR62" s="94" t="str">
        <f>IF(N62="","PRIMER_DIA en blanco",
IF(AND(M62="01",N62&gt;=L_Conversion!$C$118,N62&lt;=L_Conversion!$D$118),"-",
IF(AND(M62="02",N62&gt;=L_Conversion!$C$119,N62&lt;=L_Conversion!$D$119),"-",
IF(AND(M62="03",N62&gt;=L_Conversion!$C$120,N62&lt;=L_Conversion!$D$120),"-",
IF(AND(M62="04",N62&gt;=L_Conversion!$C$121,N62&lt;=L_Conversion!$D$121),"-",
IF(AND(M62="05",N62&gt;=L_Conversion!$C$122,N62&lt;=L_Conversion!$D$122),"-",
IF(AND(M62="06",N62&gt;=L_Conversion!$C$123,N62&lt;=L_Conversion!$D$123),"-",
IF(AND(M62="07",N62&gt;=L_Conversion!$C$124,N62&lt;=L_Conversion!$D$124),"-",
IF(AND(M62="08",N62&gt;=L_Conversion!$C$125,N62&lt;=L_Conversion!$D$125),"-",
IF(AND(M62="09",N62&gt;=L_Conversion!$C$126,N62&lt;=L_Conversion!$D$126),"-",
IF(AND(M62="10",N62&gt;=L_Conversion!$C$127,N62&lt;=L_Conversion!$D$127),"-",
IF(AND(M62="11",N62&gt;=L_Conversion!$C$128,N62&lt;=L_Conversion!$D$128),"-",
IF(AND(M62="12",N62&gt;=L_Conversion!$C$129,N62&lt;=L_Conversion!$D$129),"-",
IF(AND(M62="13",N62&gt;=L_Conversion!$C$116,N62&lt;=L_Conversion!$D$116),"-",
IF(AND(M62="14",N62&gt;=L_Conversion!$C$117,N62&lt;=L_Conversion!$D$117),"-",
"PRIMER_DIA fuera de rango")))))))))))))))</f>
        <v>-</v>
      </c>
      <c r="AS62" s="94" t="str">
        <f t="shared" si="23"/>
        <v>-</v>
      </c>
      <c r="AT62" s="94" t="str">
        <f t="shared" si="24"/>
        <v>-</v>
      </c>
      <c r="AU62" s="94" t="str">
        <f t="shared" si="25"/>
        <v>-</v>
      </c>
      <c r="AV62" s="94" t="str">
        <f t="shared" si="26"/>
        <v>-</v>
      </c>
      <c r="AW62" s="94" t="str">
        <f t="shared" si="27"/>
        <v>-</v>
      </c>
      <c r="AX62" s="94" t="str">
        <f t="shared" si="28"/>
        <v>-</v>
      </c>
      <c r="AY62" s="94" t="str">
        <f t="shared" si="29"/>
        <v>-</v>
      </c>
      <c r="AZ62" s="94" t="str">
        <f t="shared" si="30"/>
        <v>-</v>
      </c>
      <c r="BA62" s="94" t="str">
        <f t="shared" si="31"/>
        <v>-</v>
      </c>
      <c r="BB62" s="94" t="str">
        <f t="shared" si="32"/>
        <v>-</v>
      </c>
      <c r="BC62" s="94" t="str">
        <f t="shared" si="33"/>
        <v>-</v>
      </c>
      <c r="BD62" s="94" t="str">
        <f t="shared" si="34"/>
        <v>-</v>
      </c>
      <c r="BE62" s="94" t="str">
        <f t="shared" si="35"/>
        <v>-</v>
      </c>
      <c r="BF62" s="94" t="str">
        <f t="shared" si="36"/>
        <v>-</v>
      </c>
      <c r="BG62" s="186" t="str">
        <f>IF(OR(AQ62="13",AQ62="14",AT62=8),"",IF(     AND(OR(AW62="AUTORIZADO", AW62="PENDIENTE", AW62="REDUCIDO", AW62="AMPLIADO"),AP62&lt;&gt;"HONORARIO" ), _xlfn.CONCAT(IF(AL62="X","H",AL62),"_",IF(OR(AT62=5,AT62=6),_xlfn.CONCAT(AT62,"A"),AT62),"_",VLOOKUP(AX62,Datos!$B$2:$C$5,2,TRUE)),""))</f>
        <v/>
      </c>
    </row>
    <row r="63" spans="1:59" x14ac:dyDescent="0.2">
      <c r="A63" s="19" t="s">
        <v>1193</v>
      </c>
      <c r="B63" s="19" t="s">
        <v>81</v>
      </c>
      <c r="C63" s="19">
        <v>16567276</v>
      </c>
      <c r="D63" s="19">
        <v>3</v>
      </c>
      <c r="E63" s="19" t="s">
        <v>1283</v>
      </c>
      <c r="F63" s="19" t="s">
        <v>1284</v>
      </c>
      <c r="G63" s="19" t="s">
        <v>1285</v>
      </c>
      <c r="H63" s="19" t="s">
        <v>654</v>
      </c>
      <c r="I63" s="19" t="s">
        <v>653</v>
      </c>
      <c r="J63" s="19">
        <v>80</v>
      </c>
      <c r="K63" s="19" t="s">
        <v>556</v>
      </c>
      <c r="L63" s="19" t="s">
        <v>495</v>
      </c>
      <c r="M63" s="19" t="s">
        <v>13</v>
      </c>
      <c r="N63" s="19">
        <v>45831</v>
      </c>
      <c r="O63" s="19">
        <v>21</v>
      </c>
      <c r="P63" s="83">
        <v>8</v>
      </c>
      <c r="Q63" s="19" t="s">
        <v>23</v>
      </c>
      <c r="R63" s="19" t="s">
        <v>11</v>
      </c>
      <c r="S63" s="19" t="s">
        <v>23</v>
      </c>
      <c r="T63" s="19">
        <v>21</v>
      </c>
      <c r="U63" s="19" t="s">
        <v>11</v>
      </c>
      <c r="V63" s="19" t="s">
        <v>11</v>
      </c>
      <c r="W63" s="19" t="s">
        <v>11</v>
      </c>
      <c r="X63" s="19">
        <v>0</v>
      </c>
      <c r="Y63" s="19" t="s">
        <v>730</v>
      </c>
      <c r="Z63" s="19">
        <v>0</v>
      </c>
      <c r="AA63" s="19">
        <v>0</v>
      </c>
      <c r="AB63" s="19">
        <v>0</v>
      </c>
      <c r="AC63" s="186" t="str">
        <f>IF(OR(M63="13",M63="14",P63=8),"",IF(     AND(OR(S63="AUTORIZADO", S63="PENDIENTE", S63="REDUCIDO", S63="AMPLIADO"),L63&lt;&gt;"HONORARIO" ), _xlfn.CONCAT(IF(H63="X","H",H63),"_",IF(OR(P63=5,P63=6),_xlfn.CONCAT(P63,"A"),P63),"_",VLOOKUP(T63,Datos!$B$2:$C$5,2,TRUE)),""))</f>
        <v/>
      </c>
      <c r="AD63" s="186">
        <f t="shared" si="10"/>
        <v>0</v>
      </c>
      <c r="AE63" s="90" t="str">
        <f t="shared" si="11"/>
        <v>-</v>
      </c>
      <c r="AF63" s="91" t="str">
        <f t="shared" si="12"/>
        <v>071901</v>
      </c>
      <c r="AG63" s="92"/>
      <c r="AH63" s="93" t="str">
        <f t="shared" si="13"/>
        <v>Comité Innova Chile</v>
      </c>
      <c r="AI63" s="90" t="str">
        <f t="shared" si="14"/>
        <v>-</v>
      </c>
      <c r="AJ63" s="90">
        <f t="shared" si="15"/>
        <v>3</v>
      </c>
      <c r="AK63" s="90" t="str">
        <f t="shared" si="16"/>
        <v>-</v>
      </c>
      <c r="AL63" s="90" t="str">
        <f t="shared" si="17"/>
        <v>Identifica este registro como HOMBRE</v>
      </c>
      <c r="AM63" s="90" t="str">
        <f t="shared" si="18"/>
        <v>-</v>
      </c>
      <c r="AN63" s="90" t="str">
        <f t="shared" si="19"/>
        <v>-</v>
      </c>
      <c r="AO63" s="90" t="str">
        <f t="shared" si="20"/>
        <v>-</v>
      </c>
      <c r="AP63" s="58" t="str">
        <f t="shared" si="21"/>
        <v>-</v>
      </c>
      <c r="AQ63" s="94" t="str">
        <f t="shared" si="22"/>
        <v>-</v>
      </c>
      <c r="AR63" s="94" t="str">
        <f>IF(N63="","PRIMER_DIA en blanco",
IF(AND(M63="01",N63&gt;=L_Conversion!$C$118,N63&lt;=L_Conversion!$D$118),"-",
IF(AND(M63="02",N63&gt;=L_Conversion!$C$119,N63&lt;=L_Conversion!$D$119),"-",
IF(AND(M63="03",N63&gt;=L_Conversion!$C$120,N63&lt;=L_Conversion!$D$120),"-",
IF(AND(M63="04",N63&gt;=L_Conversion!$C$121,N63&lt;=L_Conversion!$D$121),"-",
IF(AND(M63="05",N63&gt;=L_Conversion!$C$122,N63&lt;=L_Conversion!$D$122),"-",
IF(AND(M63="06",N63&gt;=L_Conversion!$C$123,N63&lt;=L_Conversion!$D$123),"-",
IF(AND(M63="07",N63&gt;=L_Conversion!$C$124,N63&lt;=L_Conversion!$D$124),"-",
IF(AND(M63="08",N63&gt;=L_Conversion!$C$125,N63&lt;=L_Conversion!$D$125),"-",
IF(AND(M63="09",N63&gt;=L_Conversion!$C$126,N63&lt;=L_Conversion!$D$126),"-",
IF(AND(M63="10",N63&gt;=L_Conversion!$C$127,N63&lt;=L_Conversion!$D$127),"-",
IF(AND(M63="11",N63&gt;=L_Conversion!$C$128,N63&lt;=L_Conversion!$D$128),"-",
IF(AND(M63="12",N63&gt;=L_Conversion!$C$129,N63&lt;=L_Conversion!$D$129),"-",
IF(AND(M63="13",N63&gt;=L_Conversion!$C$116,N63&lt;=L_Conversion!$D$116),"-",
IF(AND(M63="14",N63&gt;=L_Conversion!$C$117,N63&lt;=L_Conversion!$D$117),"-",
"PRIMER_DIA fuera de rango")))))))))))))))</f>
        <v>-</v>
      </c>
      <c r="AS63" s="94" t="str">
        <f t="shared" si="23"/>
        <v>-</v>
      </c>
      <c r="AT63" s="94" t="str">
        <f t="shared" si="24"/>
        <v>-</v>
      </c>
      <c r="AU63" s="94" t="str">
        <f t="shared" si="25"/>
        <v>-</v>
      </c>
      <c r="AV63" s="94" t="str">
        <f t="shared" si="26"/>
        <v>-</v>
      </c>
      <c r="AW63" s="94" t="str">
        <f t="shared" si="27"/>
        <v>-</v>
      </c>
      <c r="AX63" s="94" t="str">
        <f t="shared" si="28"/>
        <v>-</v>
      </c>
      <c r="AY63" s="94" t="str">
        <f t="shared" si="29"/>
        <v>-</v>
      </c>
      <c r="AZ63" s="94" t="str">
        <f t="shared" si="30"/>
        <v>-</v>
      </c>
      <c r="BA63" s="94" t="str">
        <f t="shared" si="31"/>
        <v>-</v>
      </c>
      <c r="BB63" s="94" t="str">
        <f t="shared" si="32"/>
        <v>-</v>
      </c>
      <c r="BC63" s="94" t="str">
        <f t="shared" si="33"/>
        <v>-</v>
      </c>
      <c r="BD63" s="94" t="str">
        <f t="shared" si="34"/>
        <v>-</v>
      </c>
      <c r="BE63" s="94" t="str">
        <f t="shared" si="35"/>
        <v>-</v>
      </c>
      <c r="BF63" s="94" t="str">
        <f t="shared" si="36"/>
        <v>-</v>
      </c>
      <c r="BG63" s="186" t="str">
        <f>IF(OR(AQ63="13",AQ63="14",AT63=8),"",IF(     AND(OR(AW63="AUTORIZADO", AW63="PENDIENTE", AW63="REDUCIDO", AW63="AMPLIADO"),AP63&lt;&gt;"HONORARIO" ), _xlfn.CONCAT(IF(AL63="X","H",AL63),"_",IF(OR(AT63=5,AT63=6),_xlfn.CONCAT(AT63,"A"),AT63),"_",VLOOKUP(AX63,Datos!$B$2:$C$5,2,TRUE)),""))</f>
        <v/>
      </c>
    </row>
    <row r="64" spans="1:59" x14ac:dyDescent="0.2">
      <c r="A64" s="19" t="s">
        <v>1193</v>
      </c>
      <c r="B64" s="19" t="s">
        <v>81</v>
      </c>
      <c r="C64" s="19">
        <v>10347784</v>
      </c>
      <c r="D64" s="19">
        <v>0</v>
      </c>
      <c r="E64" s="19" t="s">
        <v>1286</v>
      </c>
      <c r="F64" s="19" t="s">
        <v>1287</v>
      </c>
      <c r="G64" s="19" t="s">
        <v>1288</v>
      </c>
      <c r="H64" s="19" t="s">
        <v>654</v>
      </c>
      <c r="I64" s="19" t="s">
        <v>653</v>
      </c>
      <c r="J64" s="19">
        <v>80</v>
      </c>
      <c r="K64" s="19" t="s">
        <v>560</v>
      </c>
      <c r="L64" s="19" t="s">
        <v>495</v>
      </c>
      <c r="M64" s="19" t="s">
        <v>14</v>
      </c>
      <c r="N64" s="19">
        <v>45840</v>
      </c>
      <c r="O64" s="19">
        <v>14</v>
      </c>
      <c r="P64" s="83">
        <v>1</v>
      </c>
      <c r="Q64" s="19" t="s">
        <v>23</v>
      </c>
      <c r="R64" s="19" t="s">
        <v>11</v>
      </c>
      <c r="S64" s="19" t="s">
        <v>23</v>
      </c>
      <c r="T64" s="19">
        <v>14</v>
      </c>
      <c r="U64" s="19" t="s">
        <v>11</v>
      </c>
      <c r="V64" s="19" t="s">
        <v>11</v>
      </c>
      <c r="W64" s="19" t="s">
        <v>11</v>
      </c>
      <c r="X64" s="19">
        <v>0</v>
      </c>
      <c r="Y64" s="19" t="s">
        <v>730</v>
      </c>
      <c r="Z64" s="19">
        <v>0</v>
      </c>
      <c r="AA64" s="19">
        <v>0</v>
      </c>
      <c r="AB64" s="19">
        <v>0</v>
      </c>
      <c r="AC64" s="186" t="str">
        <f>IF(OR(M64="13",M64="14",P64=8),"",IF(     AND(OR(S64="AUTORIZADO", S64="PENDIENTE", S64="REDUCIDO", S64="AMPLIADO"),L64&lt;&gt;"HONORARIO" ), _xlfn.CONCAT(IF(H64="X","H",H64),"_",IF(OR(P64=5,P64=6),_xlfn.CONCAT(P64,"A"),P64),"_",VLOOKUP(T64,Datos!$B$2:$C$5,2,TRUE)),""))</f>
        <v>H_1_[11 +]</v>
      </c>
      <c r="AD64" s="186">
        <f t="shared" si="10"/>
        <v>0</v>
      </c>
      <c r="AE64" s="90" t="str">
        <f t="shared" si="11"/>
        <v>-</v>
      </c>
      <c r="AF64" s="91" t="str">
        <f t="shared" si="12"/>
        <v>071901</v>
      </c>
      <c r="AG64" s="92"/>
      <c r="AH64" s="93" t="str">
        <f t="shared" si="13"/>
        <v>Comité Innova Chile</v>
      </c>
      <c r="AI64" s="90" t="str">
        <f t="shared" si="14"/>
        <v>-</v>
      </c>
      <c r="AJ64" s="90">
        <f t="shared" si="15"/>
        <v>0</v>
      </c>
      <c r="AK64" s="90" t="str">
        <f t="shared" si="16"/>
        <v>-</v>
      </c>
      <c r="AL64" s="90" t="str">
        <f t="shared" si="17"/>
        <v>Identifica este registro como HOMBRE</v>
      </c>
      <c r="AM64" s="90" t="str">
        <f t="shared" si="18"/>
        <v>-</v>
      </c>
      <c r="AN64" s="90" t="str">
        <f t="shared" si="19"/>
        <v>-</v>
      </c>
      <c r="AO64" s="90" t="str">
        <f t="shared" si="20"/>
        <v>-</v>
      </c>
      <c r="AP64" s="58" t="str">
        <f t="shared" si="21"/>
        <v>-</v>
      </c>
      <c r="AQ64" s="94" t="str">
        <f t="shared" si="22"/>
        <v>-</v>
      </c>
      <c r="AR64" s="94" t="str">
        <f>IF(N64="","PRIMER_DIA en blanco",
IF(AND(M64="01",N64&gt;=L_Conversion!$C$118,N64&lt;=L_Conversion!$D$118),"-",
IF(AND(M64="02",N64&gt;=L_Conversion!$C$119,N64&lt;=L_Conversion!$D$119),"-",
IF(AND(M64="03",N64&gt;=L_Conversion!$C$120,N64&lt;=L_Conversion!$D$120),"-",
IF(AND(M64="04",N64&gt;=L_Conversion!$C$121,N64&lt;=L_Conversion!$D$121),"-",
IF(AND(M64="05",N64&gt;=L_Conversion!$C$122,N64&lt;=L_Conversion!$D$122),"-",
IF(AND(M64="06",N64&gt;=L_Conversion!$C$123,N64&lt;=L_Conversion!$D$123),"-",
IF(AND(M64="07",N64&gt;=L_Conversion!$C$124,N64&lt;=L_Conversion!$D$124),"-",
IF(AND(M64="08",N64&gt;=L_Conversion!$C$125,N64&lt;=L_Conversion!$D$125),"-",
IF(AND(M64="09",N64&gt;=L_Conversion!$C$126,N64&lt;=L_Conversion!$D$126),"-",
IF(AND(M64="10",N64&gt;=L_Conversion!$C$127,N64&lt;=L_Conversion!$D$127),"-",
IF(AND(M64="11",N64&gt;=L_Conversion!$C$128,N64&lt;=L_Conversion!$D$128),"-",
IF(AND(M64="12",N64&gt;=L_Conversion!$C$129,N64&lt;=L_Conversion!$D$129),"-",
IF(AND(M64="13",N64&gt;=L_Conversion!$C$116,N64&lt;=L_Conversion!$D$116),"-",
IF(AND(M64="14",N64&gt;=L_Conversion!$C$117,N64&lt;=L_Conversion!$D$117),"-",
"PRIMER_DIA fuera de rango")))))))))))))))</f>
        <v>-</v>
      </c>
      <c r="AS64" s="94" t="str">
        <f t="shared" si="23"/>
        <v>-</v>
      </c>
      <c r="AT64" s="94" t="str">
        <f t="shared" si="24"/>
        <v>-</v>
      </c>
      <c r="AU64" s="94" t="str">
        <f t="shared" si="25"/>
        <v>-</v>
      </c>
      <c r="AV64" s="94" t="str">
        <f t="shared" si="26"/>
        <v>-</v>
      </c>
      <c r="AW64" s="94" t="str">
        <f t="shared" si="27"/>
        <v>-</v>
      </c>
      <c r="AX64" s="94" t="str">
        <f t="shared" si="28"/>
        <v>-</v>
      </c>
      <c r="AY64" s="94" t="str">
        <f t="shared" si="29"/>
        <v>-</v>
      </c>
      <c r="AZ64" s="94" t="str">
        <f t="shared" si="30"/>
        <v>-</v>
      </c>
      <c r="BA64" s="94" t="str">
        <f t="shared" si="31"/>
        <v>-</v>
      </c>
      <c r="BB64" s="94" t="str">
        <f t="shared" si="32"/>
        <v>-</v>
      </c>
      <c r="BC64" s="94" t="str">
        <f t="shared" si="33"/>
        <v>-</v>
      </c>
      <c r="BD64" s="94" t="str">
        <f t="shared" si="34"/>
        <v>-</v>
      </c>
      <c r="BE64" s="94" t="str">
        <f t="shared" si="35"/>
        <v>-</v>
      </c>
      <c r="BF64" s="94" t="str">
        <f t="shared" si="36"/>
        <v>-</v>
      </c>
      <c r="BG64" s="186" t="str">
        <f>IF(OR(AQ64="13",AQ64="14",AT64=8),"",IF(     AND(OR(AW64="AUTORIZADO", AW64="PENDIENTE", AW64="REDUCIDO", AW64="AMPLIADO"),AP64&lt;&gt;"HONORARIO" ), _xlfn.CONCAT(IF(AL64="X","H",AL64),"_",IF(OR(AT64=5,AT64=6),_xlfn.CONCAT(AT64,"A"),AT64),"_",VLOOKUP(AX64,Datos!$B$2:$C$5,2,TRUE)),""))</f>
        <v/>
      </c>
    </row>
    <row r="65" spans="1:59" x14ac:dyDescent="0.2">
      <c r="A65" s="19" t="s">
        <v>1193</v>
      </c>
      <c r="B65" s="19" t="s">
        <v>81</v>
      </c>
      <c r="C65" s="19">
        <v>14114992</v>
      </c>
      <c r="D65" s="19" t="s">
        <v>1246</v>
      </c>
      <c r="E65" s="19" t="s">
        <v>1252</v>
      </c>
      <c r="F65" s="19" t="s">
        <v>1253</v>
      </c>
      <c r="G65" s="19" t="s">
        <v>1254</v>
      </c>
      <c r="H65" s="19" t="s">
        <v>1018</v>
      </c>
      <c r="I65" s="19" t="s">
        <v>653</v>
      </c>
      <c r="J65" s="19">
        <v>80</v>
      </c>
      <c r="K65" s="19" t="s">
        <v>560</v>
      </c>
      <c r="L65" s="19" t="s">
        <v>495</v>
      </c>
      <c r="M65" s="19" t="s">
        <v>15</v>
      </c>
      <c r="N65" s="19">
        <v>45874</v>
      </c>
      <c r="O65" s="19">
        <v>14</v>
      </c>
      <c r="P65" s="83">
        <v>1</v>
      </c>
      <c r="Q65" s="19" t="s">
        <v>23</v>
      </c>
      <c r="R65" s="19" t="s">
        <v>11</v>
      </c>
      <c r="S65" s="19" t="s">
        <v>23</v>
      </c>
      <c r="T65" s="19">
        <v>14</v>
      </c>
      <c r="U65" s="19" t="s">
        <v>11</v>
      </c>
      <c r="V65" s="19" t="s">
        <v>11</v>
      </c>
      <c r="W65" s="19" t="s">
        <v>11</v>
      </c>
      <c r="X65" s="19">
        <v>0</v>
      </c>
      <c r="Y65" s="19" t="s">
        <v>730</v>
      </c>
      <c r="Z65" s="19">
        <v>0</v>
      </c>
      <c r="AA65" s="19">
        <v>0</v>
      </c>
      <c r="AB65" s="19">
        <v>0</v>
      </c>
      <c r="AC65" s="186" t="str">
        <f>IF(OR(M65="13",M65="14",P65=8),"",IF(     AND(OR(S65="AUTORIZADO", S65="PENDIENTE", S65="REDUCIDO", S65="AMPLIADO"),L65&lt;&gt;"HONORARIO" ), _xlfn.CONCAT(IF(H65="X","H",H65),"_",IF(OR(P65=5,P65=6),_xlfn.CONCAT(P65,"A"),P65),"_",VLOOKUP(T65,Datos!$B$2:$C$5,2,TRUE)),""))</f>
        <v>M_1_[11 +]</v>
      </c>
      <c r="AD65" s="186">
        <f t="shared" si="10"/>
        <v>0</v>
      </c>
      <c r="AE65" s="90" t="str">
        <f t="shared" si="11"/>
        <v>-</v>
      </c>
      <c r="AF65" s="91" t="str">
        <f t="shared" si="12"/>
        <v>071901</v>
      </c>
      <c r="AG65" s="92"/>
      <c r="AH65" s="93" t="str">
        <f t="shared" si="13"/>
        <v>Comité Innova Chile</v>
      </c>
      <c r="AI65" s="90" t="str">
        <f t="shared" si="14"/>
        <v>-</v>
      </c>
      <c r="AJ65" s="90" t="str">
        <f t="shared" si="15"/>
        <v>K</v>
      </c>
      <c r="AK65" s="90" t="str">
        <f t="shared" si="16"/>
        <v>-</v>
      </c>
      <c r="AL65" s="90" t="str">
        <f t="shared" si="17"/>
        <v>Identifica este registro como MUJER</v>
      </c>
      <c r="AM65" s="90" t="str">
        <f t="shared" si="18"/>
        <v>-</v>
      </c>
      <c r="AN65" s="90" t="str">
        <f t="shared" si="19"/>
        <v>-</v>
      </c>
      <c r="AO65" s="90" t="str">
        <f t="shared" si="20"/>
        <v>-</v>
      </c>
      <c r="AP65" s="58" t="str">
        <f t="shared" si="21"/>
        <v>-</v>
      </c>
      <c r="AQ65" s="94" t="str">
        <f t="shared" si="22"/>
        <v>-</v>
      </c>
      <c r="AR65" s="94" t="str">
        <f>IF(N65="","PRIMER_DIA en blanco",
IF(AND(M65="01",N65&gt;=L_Conversion!$C$118,N65&lt;=L_Conversion!$D$118),"-",
IF(AND(M65="02",N65&gt;=L_Conversion!$C$119,N65&lt;=L_Conversion!$D$119),"-",
IF(AND(M65="03",N65&gt;=L_Conversion!$C$120,N65&lt;=L_Conversion!$D$120),"-",
IF(AND(M65="04",N65&gt;=L_Conversion!$C$121,N65&lt;=L_Conversion!$D$121),"-",
IF(AND(M65="05",N65&gt;=L_Conversion!$C$122,N65&lt;=L_Conversion!$D$122),"-",
IF(AND(M65="06",N65&gt;=L_Conversion!$C$123,N65&lt;=L_Conversion!$D$123),"-",
IF(AND(M65="07",N65&gt;=L_Conversion!$C$124,N65&lt;=L_Conversion!$D$124),"-",
IF(AND(M65="08",N65&gt;=L_Conversion!$C$125,N65&lt;=L_Conversion!$D$125),"-",
IF(AND(M65="09",N65&gt;=L_Conversion!$C$126,N65&lt;=L_Conversion!$D$126),"-",
IF(AND(M65="10",N65&gt;=L_Conversion!$C$127,N65&lt;=L_Conversion!$D$127),"-",
IF(AND(M65="11",N65&gt;=L_Conversion!$C$128,N65&lt;=L_Conversion!$D$128),"-",
IF(AND(M65="12",N65&gt;=L_Conversion!$C$129,N65&lt;=L_Conversion!$D$129),"-",
IF(AND(M65="13",N65&gt;=L_Conversion!$C$116,N65&lt;=L_Conversion!$D$116),"-",
IF(AND(M65="14",N65&gt;=L_Conversion!$C$117,N65&lt;=L_Conversion!$D$117),"-",
"PRIMER_DIA fuera de rango")))))))))))))))</f>
        <v>-</v>
      </c>
      <c r="AS65" s="94" t="str">
        <f t="shared" si="23"/>
        <v>-</v>
      </c>
      <c r="AT65" s="94" t="str">
        <f t="shared" si="24"/>
        <v>-</v>
      </c>
      <c r="AU65" s="94" t="str">
        <f t="shared" si="25"/>
        <v>-</v>
      </c>
      <c r="AV65" s="94" t="str">
        <f t="shared" si="26"/>
        <v>-</v>
      </c>
      <c r="AW65" s="94" t="str">
        <f t="shared" si="27"/>
        <v>-</v>
      </c>
      <c r="AX65" s="94" t="str">
        <f t="shared" si="28"/>
        <v>-</v>
      </c>
      <c r="AY65" s="94" t="str">
        <f t="shared" si="29"/>
        <v>-</v>
      </c>
      <c r="AZ65" s="94" t="str">
        <f t="shared" si="30"/>
        <v>-</v>
      </c>
      <c r="BA65" s="94" t="str">
        <f t="shared" si="31"/>
        <v>-</v>
      </c>
      <c r="BB65" s="94" t="str">
        <f t="shared" si="32"/>
        <v>-</v>
      </c>
      <c r="BC65" s="94" t="str">
        <f t="shared" si="33"/>
        <v>-</v>
      </c>
      <c r="BD65" s="94" t="str">
        <f t="shared" si="34"/>
        <v>-</v>
      </c>
      <c r="BE65" s="94" t="str">
        <f t="shared" si="35"/>
        <v>-</v>
      </c>
      <c r="BF65" s="94" t="str">
        <f t="shared" si="36"/>
        <v>-</v>
      </c>
      <c r="BG65" s="186" t="str">
        <f>IF(OR(AQ65="13",AQ65="14",AT65=8),"",IF(     AND(OR(AW65="AUTORIZADO", AW65="PENDIENTE", AW65="REDUCIDO", AW65="AMPLIADO"),AP65&lt;&gt;"HONORARIO" ), _xlfn.CONCAT(IF(AL65="X","H",AL65),"_",IF(OR(AT65=5,AT65=6),_xlfn.CONCAT(AT65,"A"),AT65),"_",VLOOKUP(AX65,Datos!$B$2:$C$5,2,TRUE)),""))</f>
        <v/>
      </c>
    </row>
    <row r="66" spans="1:59" x14ac:dyDescent="0.2">
      <c r="A66" s="19" t="s">
        <v>1193</v>
      </c>
      <c r="B66" s="19" t="s">
        <v>81</v>
      </c>
      <c r="C66" s="19">
        <v>5667514</v>
      </c>
      <c r="D66" s="19">
        <v>0</v>
      </c>
      <c r="E66" s="19" t="s">
        <v>1243</v>
      </c>
      <c r="F66" s="19" t="s">
        <v>1244</v>
      </c>
      <c r="G66" s="19" t="s">
        <v>1245</v>
      </c>
      <c r="H66" s="19" t="s">
        <v>1018</v>
      </c>
      <c r="I66" s="19" t="s">
        <v>653</v>
      </c>
      <c r="J66" s="19">
        <v>80</v>
      </c>
      <c r="K66" s="19" t="s">
        <v>560</v>
      </c>
      <c r="L66" s="19" t="s">
        <v>495</v>
      </c>
      <c r="M66" s="19" t="s">
        <v>15</v>
      </c>
      <c r="N66" s="19">
        <v>45876</v>
      </c>
      <c r="O66" s="19">
        <v>2</v>
      </c>
      <c r="P66" s="83">
        <v>1</v>
      </c>
      <c r="Q66" s="19" t="s">
        <v>23</v>
      </c>
      <c r="R66" s="19" t="s">
        <v>11</v>
      </c>
      <c r="S66" s="19" t="s">
        <v>23</v>
      </c>
      <c r="T66" s="19">
        <v>2</v>
      </c>
      <c r="U66" s="19" t="s">
        <v>11</v>
      </c>
      <c r="V66" s="19" t="s">
        <v>11</v>
      </c>
      <c r="W66" s="19" t="s">
        <v>11</v>
      </c>
      <c r="X66" s="19">
        <v>0</v>
      </c>
      <c r="Y66" s="19" t="s">
        <v>730</v>
      </c>
      <c r="Z66" s="19">
        <v>0</v>
      </c>
      <c r="AA66" s="19">
        <v>0</v>
      </c>
      <c r="AB66" s="19">
        <v>0</v>
      </c>
      <c r="AC66" s="186" t="str">
        <f>IF(OR(M66="13",M66="14",P66=8),"",IF(     AND(OR(S66="AUTORIZADO", S66="PENDIENTE", S66="REDUCIDO", S66="AMPLIADO"),L66&lt;&gt;"HONORARIO" ), _xlfn.CONCAT(IF(H66="X","H",H66),"_",IF(OR(P66=5,P66=6),_xlfn.CONCAT(P66,"A"),P66),"_",VLOOKUP(T66,Datos!$B$2:$C$5,2,TRUE)),""))</f>
        <v>M_1_[hasta 3]</v>
      </c>
      <c r="AD66" s="186">
        <f t="shared" si="10"/>
        <v>0</v>
      </c>
      <c r="AE66" s="90" t="str">
        <f t="shared" si="11"/>
        <v>-</v>
      </c>
      <c r="AF66" s="91" t="str">
        <f t="shared" si="12"/>
        <v>071901</v>
      </c>
      <c r="AG66" s="92"/>
      <c r="AH66" s="93" t="str">
        <f t="shared" si="13"/>
        <v>Comité Innova Chile</v>
      </c>
      <c r="AI66" s="90" t="str">
        <f t="shared" si="14"/>
        <v>-</v>
      </c>
      <c r="AJ66" s="90">
        <f t="shared" si="15"/>
        <v>0</v>
      </c>
      <c r="AK66" s="90" t="str">
        <f t="shared" si="16"/>
        <v>-</v>
      </c>
      <c r="AL66" s="90" t="str">
        <f t="shared" si="17"/>
        <v>Identifica este registro como MUJER</v>
      </c>
      <c r="AM66" s="90" t="str">
        <f t="shared" si="18"/>
        <v>-</v>
      </c>
      <c r="AN66" s="90" t="str">
        <f t="shared" si="19"/>
        <v>-</v>
      </c>
      <c r="AO66" s="90" t="str">
        <f t="shared" si="20"/>
        <v>-</v>
      </c>
      <c r="AP66" s="58" t="str">
        <f t="shared" si="21"/>
        <v>-</v>
      </c>
      <c r="AQ66" s="94" t="str">
        <f t="shared" si="22"/>
        <v>-</v>
      </c>
      <c r="AR66" s="94" t="str">
        <f>IF(N66="","PRIMER_DIA en blanco",
IF(AND(M66="01",N66&gt;=L_Conversion!$C$118,N66&lt;=L_Conversion!$D$118),"-",
IF(AND(M66="02",N66&gt;=L_Conversion!$C$119,N66&lt;=L_Conversion!$D$119),"-",
IF(AND(M66="03",N66&gt;=L_Conversion!$C$120,N66&lt;=L_Conversion!$D$120),"-",
IF(AND(M66="04",N66&gt;=L_Conversion!$C$121,N66&lt;=L_Conversion!$D$121),"-",
IF(AND(M66="05",N66&gt;=L_Conversion!$C$122,N66&lt;=L_Conversion!$D$122),"-",
IF(AND(M66="06",N66&gt;=L_Conversion!$C$123,N66&lt;=L_Conversion!$D$123),"-",
IF(AND(M66="07",N66&gt;=L_Conversion!$C$124,N66&lt;=L_Conversion!$D$124),"-",
IF(AND(M66="08",N66&gt;=L_Conversion!$C$125,N66&lt;=L_Conversion!$D$125),"-",
IF(AND(M66="09",N66&gt;=L_Conversion!$C$126,N66&lt;=L_Conversion!$D$126),"-",
IF(AND(M66="10",N66&gt;=L_Conversion!$C$127,N66&lt;=L_Conversion!$D$127),"-",
IF(AND(M66="11",N66&gt;=L_Conversion!$C$128,N66&lt;=L_Conversion!$D$128),"-",
IF(AND(M66="12",N66&gt;=L_Conversion!$C$129,N66&lt;=L_Conversion!$D$129),"-",
IF(AND(M66="13",N66&gt;=L_Conversion!$C$116,N66&lt;=L_Conversion!$D$116),"-",
IF(AND(M66="14",N66&gt;=L_Conversion!$C$117,N66&lt;=L_Conversion!$D$117),"-",
"PRIMER_DIA fuera de rango")))))))))))))))</f>
        <v>-</v>
      </c>
      <c r="AS66" s="94" t="str">
        <f t="shared" si="23"/>
        <v>-</v>
      </c>
      <c r="AT66" s="94" t="str">
        <f t="shared" si="24"/>
        <v>-</v>
      </c>
      <c r="AU66" s="94" t="str">
        <f t="shared" si="25"/>
        <v>-</v>
      </c>
      <c r="AV66" s="94" t="str">
        <f t="shared" si="26"/>
        <v>-</v>
      </c>
      <c r="AW66" s="94" t="str">
        <f t="shared" si="27"/>
        <v>-</v>
      </c>
      <c r="AX66" s="94" t="str">
        <f t="shared" si="28"/>
        <v>-</v>
      </c>
      <c r="AY66" s="94" t="str">
        <f t="shared" si="29"/>
        <v>-</v>
      </c>
      <c r="AZ66" s="94" t="str">
        <f t="shared" si="30"/>
        <v>-</v>
      </c>
      <c r="BA66" s="94" t="str">
        <f t="shared" si="31"/>
        <v>-</v>
      </c>
      <c r="BB66" s="94" t="str">
        <f t="shared" si="32"/>
        <v>-</v>
      </c>
      <c r="BC66" s="94" t="str">
        <f t="shared" si="33"/>
        <v>-</v>
      </c>
      <c r="BD66" s="94" t="str">
        <f t="shared" si="34"/>
        <v>-</v>
      </c>
      <c r="BE66" s="94" t="str">
        <f t="shared" si="35"/>
        <v>-</v>
      </c>
      <c r="BF66" s="94" t="str">
        <f t="shared" si="36"/>
        <v>-</v>
      </c>
      <c r="BG66" s="186" t="str">
        <f>IF(OR(AQ66="13",AQ66="14",AT66=8),"",IF(     AND(OR(AW66="AUTORIZADO", AW66="PENDIENTE", AW66="REDUCIDO", AW66="AMPLIADO"),AP66&lt;&gt;"HONORARIO" ), _xlfn.CONCAT(IF(AL66="X","H",AL66),"_",IF(OR(AT66=5,AT66=6),_xlfn.CONCAT(AT66,"A"),AT66),"_",VLOOKUP(AX66,Datos!$B$2:$C$5,2,TRUE)),""))</f>
        <v/>
      </c>
    </row>
    <row r="67" spans="1:59" x14ac:dyDescent="0.2">
      <c r="A67" s="19" t="s">
        <v>1193</v>
      </c>
      <c r="B67" s="19" t="s">
        <v>81</v>
      </c>
      <c r="C67" s="19">
        <v>16567276</v>
      </c>
      <c r="D67" s="19">
        <v>3</v>
      </c>
      <c r="E67" s="19" t="s">
        <v>1283</v>
      </c>
      <c r="F67" s="19" t="s">
        <v>1284</v>
      </c>
      <c r="G67" s="19" t="s">
        <v>1285</v>
      </c>
      <c r="H67" s="19" t="s">
        <v>654</v>
      </c>
      <c r="I67" s="19" t="s">
        <v>653</v>
      </c>
      <c r="J67" s="19">
        <v>80</v>
      </c>
      <c r="K67" s="19" t="s">
        <v>556</v>
      </c>
      <c r="L67" s="19" t="s">
        <v>495</v>
      </c>
      <c r="M67" s="19" t="s">
        <v>15</v>
      </c>
      <c r="N67" s="19">
        <v>45891</v>
      </c>
      <c r="O67" s="19">
        <v>1</v>
      </c>
      <c r="P67" s="83">
        <v>1</v>
      </c>
      <c r="Q67" s="19" t="s">
        <v>23</v>
      </c>
      <c r="R67" s="19" t="s">
        <v>11</v>
      </c>
      <c r="S67" s="19" t="s">
        <v>23</v>
      </c>
      <c r="T67" s="19">
        <v>1</v>
      </c>
      <c r="U67" s="19" t="s">
        <v>11</v>
      </c>
      <c r="V67" s="19" t="s">
        <v>11</v>
      </c>
      <c r="W67" s="19" t="s">
        <v>11</v>
      </c>
      <c r="X67" s="19">
        <v>0</v>
      </c>
      <c r="Y67" s="19" t="s">
        <v>730</v>
      </c>
      <c r="Z67" s="19">
        <v>0</v>
      </c>
      <c r="AA67" s="19">
        <v>0</v>
      </c>
      <c r="AB67" s="19">
        <v>0</v>
      </c>
      <c r="AC67" s="186" t="str">
        <f>IF(OR(M67="13",M67="14",P67=8),"",IF(     AND(OR(S67="AUTORIZADO", S67="PENDIENTE", S67="REDUCIDO", S67="AMPLIADO"),L67&lt;&gt;"HONORARIO" ), _xlfn.CONCAT(IF(H67="X","H",H67),"_",IF(OR(P67=5,P67=6),_xlfn.CONCAT(P67,"A"),P67),"_",VLOOKUP(T67,Datos!$B$2:$C$5,2,TRUE)),""))</f>
        <v>H_1_[hasta 3]</v>
      </c>
      <c r="AD67" s="186">
        <f t="shared" ref="AD67:AD85" si="37">IF(AC67="",0,AA67+AB67)</f>
        <v>0</v>
      </c>
      <c r="AE67" s="90" t="str">
        <f t="shared" ref="AE67:AE85" si="38">IF(A67="","Celda vacía",IF(A67="L","-","Revisar"))</f>
        <v>-</v>
      </c>
      <c r="AF67" s="91" t="str">
        <f t="shared" ref="AF67:AF85" si="39">IF(B67="","Celda vacía",IF(LEN(B67)=4,REPLACE(B67,1,6,CONCATENATE("00",B67)),IF(LEN(B67)=5,REPLACE(B67,1,6,CONCATENATE("0",B67)),IF(LEN(B67)=6,REPLACE(B67,1,6,B67),IF(AND(LEN(B67)&gt;6,OR(LEFT(B67,4)="1202", LEFT(B67,4)="1703")),REPLACE(B67,1,LEN(B67),B67),"Revisar")))))</f>
        <v>071901</v>
      </c>
      <c r="AG67" s="92"/>
      <c r="AH67" s="93" t="str">
        <f t="shared" ref="AH67:AH85" si="40">IF(B67="","Celda Vacía",IF(ISERROR(IF(B67="","",VLOOKUP(B67,Codigo,3,0))),"Corregir código servicio",IF(B67="","",VLOOKUP(B67,Codigo,3,0))))</f>
        <v>Comité Innova Chile</v>
      </c>
      <c r="AI67" s="90" t="str">
        <f t="shared" ref="AI67:AI85" si="41">IF(C67="","Celda vacía",IF(C67&gt;1000000,"-","Revisar con Edad"))</f>
        <v>-</v>
      </c>
      <c r="AJ67" s="90">
        <f t="shared" ref="AJ67:AJ85" si="42">IF(D67="","Celda vacía",IF(IF(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=11,0,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)=10,"K",IF(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=11,0,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)))</f>
        <v>3</v>
      </c>
      <c r="AK67" s="90" t="str">
        <f t="shared" ref="AK67:AK85" si="43">IF(C67="","Celda vacía",IF(C67="E","-",IF(IF(AJ67=11,0,IF(AJ67=10,"K",AJ67))=D67,"-","Corregir RUN")))</f>
        <v>-</v>
      </c>
      <c r="AL67" s="90" t="str">
        <f t="shared" ref="AL67:AL85" si="44">IF(H67="","Celda vacía",IF(OR(H67="M",H67="H",H67="X"),  IF(H67="M", "Identifica este registro como MUJER",  IF(H67="H","Identifica este registro como HOMBRE", IF(H67="X","Identifica este registro como NO BINARIO"))),  "Validar con Tabla N°01")   )</f>
        <v>Identifica este registro como HOMBRE</v>
      </c>
      <c r="AM67" s="90" t="str">
        <f t="shared" ref="AM67:AM85" si="45">IF(I67="","Celda vacía",IF(ISERROR(VLOOKUP(I67,Tabla_27_Matriz_Base,1,0)),"Revisar","-"))</f>
        <v>-</v>
      </c>
      <c r="AN67" s="90" t="str">
        <f t="shared" ref="AN67:AN85" si="46">IF(J67="","Celda vacía",IF(ISERROR(VLOOKUP(J67,Tabla_04_Sist.Rem,1,0)),"Revisar","-"))</f>
        <v>-</v>
      </c>
      <c r="AO67" s="90" t="str">
        <f t="shared" ref="AO67:AO85" si="47">IF(J67="","SIST_REM vacío, no permite validar estamento",IF(OR(J67=10,J67=40,J67=60,J67=70),IF(ISERROR(VLOOKUP(K67,Tabla_06_10_40_60_70_EUS,1,0)),"Revisar. Estamento no corresponde a sist. Rem.","-"),
IF(AND(A67="l",J67=11,K67="DIRECTIVO"),"Dual",
IF(OR(J67=11,J67=12),IF(ISERROR(VLOOKUP(K67,Tabla_06_11_12_15076_19664,1,0)),"Revisar. Estamento no corresponde a sist. Rem.","-"),
IF(J67=13,IF(ISERROR(VLOOKUP(K67,Tabla_06_13,1,0)),"Revisar. Estamento no corresponde a sist. Rem.","-"),
IF(J67=14,IF(ISERROR(VLOOKUP(K67,Tabla_06_14,1,0)),"Revisar. Estamento no corresponde a sist. Rem.","-"),
IF(J67=15,IF(ISERROR(VLOOKUP(K67,Tabla_06_15,1,0)),"Revisar. Estamento no corresponde a sist. Rem.","-"),
IF(OR(J67=90),IF(ISERROR(VLOOKUP(K67,Tabla_06_90_Personal_Fuera_de_Dotacion,1,0)),"Revisar. Estamento no corresponde a sist. Rem.","-"),
IF(J67=61,IF(ISERROR(VLOOKUP(K67,Tabla_06_DFL29_61_Experimentales,1,0)),"Revisar. Estamento no corresponde a sist. Rem.","-"),IF(J67=20,IF(ISERROR(VLOOKUP(K67,Tabla_06_20_Fiscalizadores,1,0)),"Revisar. Estamento no corresponde a sist. Rem.","-"),IF(J67=80,IF(ISERROR(VLOOKUP(K67,Tabla_06_80_Codigo_del_Trabajo,1,0)),"Revisar. Estamento no corresponde a sist. Rem.","-"),                    IF(J67=30,IF(ISERROR(VLOOKUP(K67,Tabla_06_30_Poder_Judicial,1,0)),"Revisar. Estamento no corresponde a sist. Rem.","-"),IF(ISERROR(VLOOKUP(K67,Tabla_06_50_Ministerio_Publico,1,0)),"Revisar","-")))))))))))))</f>
        <v>-</v>
      </c>
      <c r="AP67" s="58" t="str">
        <f t="shared" ref="AP67:AP85" si="48">IF(L67="","Celda vacía",IF(ISERROR(VLOOKUP(L67,Tabla_Personal,1,0)),"Revisar","-"))</f>
        <v>-</v>
      </c>
      <c r="AQ67" s="94" t="str">
        <f t="shared" ref="AQ67:AQ85" si="49">IF(M67="","Celda vacía",IF(ISERROR(VLOOKUP(M67,Tabla_01_Mes,1,0)),"Revisar","-"))</f>
        <v>-</v>
      </c>
      <c r="AR67" s="94" t="str">
        <f>IF(N67="","PRIMER_DIA en blanco",
IF(AND(M67="01",N67&gt;=L_Conversion!$C$118,N67&lt;=L_Conversion!$D$118),"-",
IF(AND(M67="02",N67&gt;=L_Conversion!$C$119,N67&lt;=L_Conversion!$D$119),"-",
IF(AND(M67="03",N67&gt;=L_Conversion!$C$120,N67&lt;=L_Conversion!$D$120),"-",
IF(AND(M67="04",N67&gt;=L_Conversion!$C$121,N67&lt;=L_Conversion!$D$121),"-",
IF(AND(M67="05",N67&gt;=L_Conversion!$C$122,N67&lt;=L_Conversion!$D$122),"-",
IF(AND(M67="06",N67&gt;=L_Conversion!$C$123,N67&lt;=L_Conversion!$D$123),"-",
IF(AND(M67="07",N67&gt;=L_Conversion!$C$124,N67&lt;=L_Conversion!$D$124),"-",
IF(AND(M67="08",N67&gt;=L_Conversion!$C$125,N67&lt;=L_Conversion!$D$125),"-",
IF(AND(M67="09",N67&gt;=L_Conversion!$C$126,N67&lt;=L_Conversion!$D$126),"-",
IF(AND(M67="10",N67&gt;=L_Conversion!$C$127,N67&lt;=L_Conversion!$D$127),"-",
IF(AND(M67="11",N67&gt;=L_Conversion!$C$128,N67&lt;=L_Conversion!$D$128),"-",
IF(AND(M67="12",N67&gt;=L_Conversion!$C$129,N67&lt;=L_Conversion!$D$129),"-",
IF(AND(M67="13",N67&gt;=L_Conversion!$C$116,N67&lt;=L_Conversion!$D$116),"-",
IF(AND(M67="14",N67&gt;=L_Conversion!$C$117,N67&lt;=L_Conversion!$D$117),"-",
"PRIMER_DIA fuera de rango")))))))))))))))</f>
        <v>-</v>
      </c>
      <c r="AS67" s="94" t="str">
        <f t="shared" ref="AS67:AS85" si="50">IF(O67="","Celda vacía",IF(AND(ISERROR(VLOOKUP(P67,Tabla_18_Tipos_licencias,1,FALSE))=FALSE,O67&gt;=0,O67&lt;=365),IF(P67=8,IF(H67="M",IF(ISERROR(VLOOKUP(O67,Dias_Licencia_Tipo_8_M,1,0)),"Revisar días licencia tipo 8","-"),IF(ISERROR(VLOOKUP(O67,Dias_licencia_tipo_8_H,1,0)),"Revisar días licencia tipo 8","-")),"-"),"Se debe revisar los campos TIPO_LM y N_DIAS"))</f>
        <v>-</v>
      </c>
      <c r="AT67" s="94" t="str">
        <f t="shared" ref="AT67:AT85" si="51">IF(P67="","Celda vacía",IF(ISERROR(VLOOKUP(P67,Tabla_18_Tipos_licencias,1,FALSE))=FALSE,IF(H67="M","-",IF(P67=7,"Revisar","-")),"Revisar"))</f>
        <v>-</v>
      </c>
      <c r="AU67" s="94" t="str">
        <f t="shared" ref="AU67:AU85" si="52">IF(Q67="","Celda vacía",IF(AND(OR(L67="HAG",L67="HONORARIO"),OR(Q67="AUTORIZADO",Q67="REDUCIDO",Q67="RECHAZADO",Q67="PENDIENTE",Q67="AMPLIADO")),"Revisar Calidad Jurídica",IF(AND(OR(L67="HAG",L67="HONORARIO"),Q67="NC"),"-",IF(ISERROR(VLOOKUP(Q67,Tabla_04_Estado_Resolucion,1,0)),"Revisar",IF(AND(Q67="PENDIENTE",($BG$1-N67)&gt;60),"Validar estado PENDIENTE",  IF(AND(OR(L67="CONTRATA",L67="PLANTA", L67="CT", L67="JP", L67="JORNAL", L67="CONTRATA_FD", L67="CT_FD", L67="ADSCRITO", L67="LGN", L67="VIGILANTE", L67="BECARIOS", L67="PLANTA_FD"),Q67&lt;&gt;"NC"),"-","Revisar Calidad Jurídica"))))))</f>
        <v>-</v>
      </c>
      <c r="AV67" s="94" t="str">
        <f t="shared" ref="AV67:AV85" si="53">IF(R67="","Celda vacía",IF(AND(OR(Q67="AUTORIZADO",Q67="PENDIENTE",Q67="NC",Q67="AMPLIADO"),R67="N"),"-",IF(AND(OR(Q67="REDUCIDO",Q67="RECHAZADO"),OR(R67="S",R67="N")),"-","Revisar")))</f>
        <v>-</v>
      </c>
      <c r="AW67" s="94" t="str">
        <f t="shared" ref="AW67:AW85" si="54">IF(Q67="","Celda vacía",IF(AND(R67="N",Q67=S67),"-",IF(AND(S67="PENDIENTE",($BG$1-N67)&gt;60),"Validar estado PENDIENTE",IF(AND(R67="S",OR(S67="AUTORIZADO",S67="PENDIENTE"),T67=O67),"-",IF(AND(R67="S",S67="REDUCIDO",T67&lt;O67,T67&gt;0),"-",IF(AND(R67="S",S67="RECHAZADO",T67=0),"-",IF(AND(Q67="NC",S67="NC",T67=O67),"-","Revisar")))))))</f>
        <v>-</v>
      </c>
      <c r="AX67" s="94" t="str">
        <f t="shared" ref="AX67:AX85" si="55">IF(T67="","Celda Vacía",IF(AND(OR(S67="AUTORIZADO",S67="PENDIENTE",S67="NC"),O67=T67),"-",IF(AND(S67="REDUCIDO",T67&gt;0,T67&lt;O67),"-",IF(AND(S67="RECHAZADO",T67=0),"-",   IF(AND(S67="AMPLIADO",T67&gt;O67),"-",       "Revisar" )))))</f>
        <v>-</v>
      </c>
      <c r="AY67" s="94" t="str">
        <f t="shared" ref="AY67:AY85" si="56">IF(U67="","Celda vacía",IF(OR(U67="S",U67="N"),"-","Revisar"))</f>
        <v>-</v>
      </c>
      <c r="AZ67" s="94" t="str">
        <f t="shared" ref="AZ67:AZ85" si="57">IF(V67="","Celda vacía",IF(OR(V67="S",V67="N"),"-","Revisar"))</f>
        <v>-</v>
      </c>
      <c r="BA67" s="94" t="str">
        <f t="shared" ref="BA67:BA85" si="58">IF(W67="","Celda vacía",IF(OR(W67="S",W67="N"),"-","Revisar"))</f>
        <v>-</v>
      </c>
      <c r="BB67" s="94" t="str">
        <f t="shared" ref="BB67:BB85" si="59">IF(X67="","Celda Vacia",IF(  OR(          AND(X67=0,W67="S"),AND(X67&lt;&gt;0,W67="N")),"Revisar valor del campo MONTO_SUB","-"))</f>
        <v>-</v>
      </c>
      <c r="BC67" s="94" t="str">
        <f t="shared" ref="BC67:BC85" si="60">IF(Y67="","Celda Vacia",IF(ISERROR(VLOOKUP(Y67,Tabla_33_estado_recuperacion,1,FALSE)),"Se debe corregir el valor según Tabla Nro 33",IF(Y67="SDR",IF(OR(S67="RECHAZADO",W67="N"),"-","Se debe revisar  ESTADO SDR"),IF(Y67="PEN",IF(OR(S67="AUTORIZADO",S67="REDUCIDO",S67="PENDIENTE"),"-","Se debe revisar ESTADO PEN"),IF(AND(OR(W67="S",W67="N"),OR(Y67="TOT",Y67="PAR"),OR(S67="AUTORIZADO",S67="REDUCIDO")),"-","Revisar ER2 Y ESTADO_REC")))))</f>
        <v>-</v>
      </c>
      <c r="BD67" s="94" t="str">
        <f t="shared" ref="BD67:BD85" si="61">IF(Z67="","Celda Vacia", IF(Z67&gt;T67,"Dias recuperados no puede ser mayor a dias autorizados", IF(ISNUMBER(Z67)=TRUE,IF(Z67=0,IF(OR(Y67="SDR",Y67="PEN"),"-",IF(AND(T67&lt;4,OR(Y67="TOT",Y67="PAR")),"-","Se debe revisar los Campos N_DIAS_REC y ESTADO_REC")),IF(AND(Z67&gt;0,Z67&lt;366,OR(Y67="TOT",Y67="PAR")),"-","Se debe revisar los campos ESTADO_REC y N_DIAS_REC")),"Valor del campo N_DIAS_REC no es numérico"))    )</f>
        <v>-</v>
      </c>
      <c r="BE67" s="94" t="str">
        <f t="shared" ref="BE67:BE85" si="62">IF(AA67="","Celda vacia",
IF( AND(AA67=0,(OR(Y67="PEN",Y67="SDR"))),"-",
IF(AND(T67&lt;4,OR(P67="5A",P67="5B",P67="6A",P67="6B"),AA67&gt;=0),"-",
IF(AND(T67&lt;4,P67&lt;&gt;"5A",P67&lt;&gt;"5B",P67&lt;&gt;"6A",P67&lt;&gt;"6B",AA67=0),"-",
IF(AND(T67&lt;4,P67&lt;&gt;"5A",P67&lt;&gt;"5B",P67&lt;&gt;"6A",P67&lt;&gt;"6B",V67="S",AA67&gt;=0),"-",
IF(AND(T67&gt;=4,AA67&gt;0, OR(Y67="TOT",Y67="PAR")),"-",
"Revisar el tipo de licencia medica, dias de licencia para el monto de recuperación declarado"))))))</f>
        <v>-</v>
      </c>
      <c r="BF67" s="94" t="str">
        <f t="shared" ref="BF67:BF85" si="63">IF(AB67="","Celda vacia",IF(ISNUMBER(AB67)=TRUE,IF(AB67=0,IF(OR(Y67="PEN",Y67="SDR"),"-","revisar "),IF(OR(Y67="TOT",Y67="PAR"),"-","Revisar")),"Valor del campo no es numérico"))</f>
        <v>-</v>
      </c>
      <c r="BG67" s="186" t="str">
        <f>IF(OR(AQ67="13",AQ67="14",AT67=8),"",IF(     AND(OR(AW67="AUTORIZADO", AW67="PENDIENTE", AW67="REDUCIDO", AW67="AMPLIADO"),AP67&lt;&gt;"HONORARIO" ), _xlfn.CONCAT(IF(AL67="X","H",AL67),"_",IF(OR(AT67=5,AT67=6),_xlfn.CONCAT(AT67,"A"),AT67),"_",VLOOKUP(AX67,Datos!$B$2:$C$5,2,TRUE)),""))</f>
        <v/>
      </c>
    </row>
    <row r="68" spans="1:59" x14ac:dyDescent="0.2">
      <c r="A68" s="19" t="s">
        <v>1193</v>
      </c>
      <c r="B68" s="19" t="s">
        <v>81</v>
      </c>
      <c r="C68" s="19">
        <v>9765995</v>
      </c>
      <c r="D68" s="19">
        <v>8</v>
      </c>
      <c r="E68" s="19" t="s">
        <v>1226</v>
      </c>
      <c r="F68" s="19" t="s">
        <v>1227</v>
      </c>
      <c r="G68" s="19" t="s">
        <v>1228</v>
      </c>
      <c r="H68" s="19" t="s">
        <v>1018</v>
      </c>
      <c r="I68" s="19" t="s">
        <v>653</v>
      </c>
      <c r="J68" s="19">
        <v>80</v>
      </c>
      <c r="K68" s="19" t="s">
        <v>554</v>
      </c>
      <c r="L68" s="19" t="s">
        <v>495</v>
      </c>
      <c r="M68" s="19" t="s">
        <v>15</v>
      </c>
      <c r="N68" s="19">
        <v>45894</v>
      </c>
      <c r="O68" s="19">
        <v>2</v>
      </c>
      <c r="P68" s="83">
        <v>1</v>
      </c>
      <c r="Q68" s="19" t="s">
        <v>23</v>
      </c>
      <c r="R68" s="19" t="s">
        <v>11</v>
      </c>
      <c r="S68" s="19" t="s">
        <v>23</v>
      </c>
      <c r="T68" s="19">
        <v>2</v>
      </c>
      <c r="U68" s="19" t="s">
        <v>11</v>
      </c>
      <c r="V68" s="19" t="s">
        <v>11</v>
      </c>
      <c r="W68" s="19" t="s">
        <v>11</v>
      </c>
      <c r="X68" s="19">
        <v>0</v>
      </c>
      <c r="Y68" s="19" t="s">
        <v>730</v>
      </c>
      <c r="Z68" s="19">
        <v>0</v>
      </c>
      <c r="AA68" s="19">
        <v>0</v>
      </c>
      <c r="AB68" s="19">
        <v>0</v>
      </c>
      <c r="AC68" s="186" t="str">
        <f>IF(OR(M68="13",M68="14",P68=8),"",IF(     AND(OR(S68="AUTORIZADO", S68="PENDIENTE", S68="REDUCIDO", S68="AMPLIADO"),L68&lt;&gt;"HONORARIO" ), _xlfn.CONCAT(IF(H68="X","H",H68),"_",IF(OR(P68=5,P68=6),_xlfn.CONCAT(P68,"A"),P68),"_",VLOOKUP(T68,Datos!$B$2:$C$5,2,TRUE)),""))</f>
        <v>M_1_[hasta 3]</v>
      </c>
      <c r="AD68" s="186">
        <f t="shared" si="37"/>
        <v>0</v>
      </c>
      <c r="AE68" s="90" t="str">
        <f t="shared" si="38"/>
        <v>-</v>
      </c>
      <c r="AF68" s="91" t="str">
        <f t="shared" si="39"/>
        <v>071901</v>
      </c>
      <c r="AG68" s="92"/>
      <c r="AH68" s="93" t="str">
        <f t="shared" si="40"/>
        <v>Comité Innova Chile</v>
      </c>
      <c r="AI68" s="90" t="str">
        <f t="shared" si="41"/>
        <v>-</v>
      </c>
      <c r="AJ68" s="90">
        <f t="shared" si="42"/>
        <v>8</v>
      </c>
      <c r="AK68" s="90" t="str">
        <f t="shared" si="43"/>
        <v>-</v>
      </c>
      <c r="AL68" s="90" t="str">
        <f t="shared" si="44"/>
        <v>Identifica este registro como MUJER</v>
      </c>
      <c r="AM68" s="90" t="str">
        <f t="shared" si="45"/>
        <v>-</v>
      </c>
      <c r="AN68" s="90" t="str">
        <f t="shared" si="46"/>
        <v>-</v>
      </c>
      <c r="AO68" s="90" t="str">
        <f t="shared" si="47"/>
        <v>-</v>
      </c>
      <c r="AP68" s="58" t="str">
        <f t="shared" si="48"/>
        <v>-</v>
      </c>
      <c r="AQ68" s="94" t="str">
        <f t="shared" si="49"/>
        <v>-</v>
      </c>
      <c r="AR68" s="94" t="str">
        <f>IF(N68="","PRIMER_DIA en blanco",
IF(AND(M68="01",N68&gt;=L_Conversion!$C$118,N68&lt;=L_Conversion!$D$118),"-",
IF(AND(M68="02",N68&gt;=L_Conversion!$C$119,N68&lt;=L_Conversion!$D$119),"-",
IF(AND(M68="03",N68&gt;=L_Conversion!$C$120,N68&lt;=L_Conversion!$D$120),"-",
IF(AND(M68="04",N68&gt;=L_Conversion!$C$121,N68&lt;=L_Conversion!$D$121),"-",
IF(AND(M68="05",N68&gt;=L_Conversion!$C$122,N68&lt;=L_Conversion!$D$122),"-",
IF(AND(M68="06",N68&gt;=L_Conversion!$C$123,N68&lt;=L_Conversion!$D$123),"-",
IF(AND(M68="07",N68&gt;=L_Conversion!$C$124,N68&lt;=L_Conversion!$D$124),"-",
IF(AND(M68="08",N68&gt;=L_Conversion!$C$125,N68&lt;=L_Conversion!$D$125),"-",
IF(AND(M68="09",N68&gt;=L_Conversion!$C$126,N68&lt;=L_Conversion!$D$126),"-",
IF(AND(M68="10",N68&gt;=L_Conversion!$C$127,N68&lt;=L_Conversion!$D$127),"-",
IF(AND(M68="11",N68&gt;=L_Conversion!$C$128,N68&lt;=L_Conversion!$D$128),"-",
IF(AND(M68="12",N68&gt;=L_Conversion!$C$129,N68&lt;=L_Conversion!$D$129),"-",
IF(AND(M68="13",N68&gt;=L_Conversion!$C$116,N68&lt;=L_Conversion!$D$116),"-",
IF(AND(M68="14",N68&gt;=L_Conversion!$C$117,N68&lt;=L_Conversion!$D$117),"-",
"PRIMER_DIA fuera de rango")))))))))))))))</f>
        <v>-</v>
      </c>
      <c r="AS68" s="94" t="str">
        <f t="shared" si="50"/>
        <v>-</v>
      </c>
      <c r="AT68" s="94" t="str">
        <f t="shared" si="51"/>
        <v>-</v>
      </c>
      <c r="AU68" s="94" t="str">
        <f t="shared" si="52"/>
        <v>-</v>
      </c>
      <c r="AV68" s="94" t="str">
        <f t="shared" si="53"/>
        <v>-</v>
      </c>
      <c r="AW68" s="94" t="str">
        <f t="shared" si="54"/>
        <v>-</v>
      </c>
      <c r="AX68" s="94" t="str">
        <f t="shared" si="55"/>
        <v>-</v>
      </c>
      <c r="AY68" s="94" t="str">
        <f t="shared" si="56"/>
        <v>-</v>
      </c>
      <c r="AZ68" s="94" t="str">
        <f t="shared" si="57"/>
        <v>-</v>
      </c>
      <c r="BA68" s="94" t="str">
        <f t="shared" si="58"/>
        <v>-</v>
      </c>
      <c r="BB68" s="94" t="str">
        <f t="shared" si="59"/>
        <v>-</v>
      </c>
      <c r="BC68" s="94" t="str">
        <f t="shared" si="60"/>
        <v>-</v>
      </c>
      <c r="BD68" s="94" t="str">
        <f t="shared" si="61"/>
        <v>-</v>
      </c>
      <c r="BE68" s="94" t="str">
        <f t="shared" si="62"/>
        <v>-</v>
      </c>
      <c r="BF68" s="94" t="str">
        <f t="shared" si="63"/>
        <v>-</v>
      </c>
      <c r="BG68" s="186" t="str">
        <f>IF(OR(AQ68="13",AQ68="14",AT68=8),"",IF(     AND(OR(AW68="AUTORIZADO", AW68="PENDIENTE", AW68="REDUCIDO", AW68="AMPLIADO"),AP68&lt;&gt;"HONORARIO" ), _xlfn.CONCAT(IF(AL68="X","H",AL68),"_",IF(OR(AT68=5,AT68=6),_xlfn.CONCAT(AT68,"A"),AT68),"_",VLOOKUP(AX68,Datos!$B$2:$C$5,2,TRUE)),""))</f>
        <v/>
      </c>
    </row>
    <row r="69" spans="1:59" x14ac:dyDescent="0.2">
      <c r="A69" s="19" t="s">
        <v>1193</v>
      </c>
      <c r="B69" s="19" t="s">
        <v>81</v>
      </c>
      <c r="C69" s="19">
        <v>15805912</v>
      </c>
      <c r="D69" s="19">
        <v>6</v>
      </c>
      <c r="E69" s="19" t="s">
        <v>1289</v>
      </c>
      <c r="F69" s="19" t="s">
        <v>1290</v>
      </c>
      <c r="G69" s="19" t="s">
        <v>1291</v>
      </c>
      <c r="H69" s="19" t="s">
        <v>654</v>
      </c>
      <c r="I69" s="19" t="s">
        <v>653</v>
      </c>
      <c r="J69" s="19">
        <v>80</v>
      </c>
      <c r="K69" s="19" t="s">
        <v>556</v>
      </c>
      <c r="L69" s="19" t="s">
        <v>495</v>
      </c>
      <c r="M69" s="19" t="s">
        <v>10</v>
      </c>
      <c r="N69" s="19">
        <v>45903</v>
      </c>
      <c r="O69" s="19">
        <v>8</v>
      </c>
      <c r="P69" s="83" t="s">
        <v>736</v>
      </c>
      <c r="Q69" s="19" t="s">
        <v>23</v>
      </c>
      <c r="R69" s="19" t="s">
        <v>11</v>
      </c>
      <c r="S69" s="19" t="s">
        <v>23</v>
      </c>
      <c r="T69" s="19">
        <v>8</v>
      </c>
      <c r="U69" s="19" t="s">
        <v>11</v>
      </c>
      <c r="V69" s="19" t="s">
        <v>11</v>
      </c>
      <c r="W69" s="19" t="s">
        <v>11</v>
      </c>
      <c r="X69" s="19">
        <v>0</v>
      </c>
      <c r="Y69" s="19" t="s">
        <v>730</v>
      </c>
      <c r="Z69" s="19">
        <v>0</v>
      </c>
      <c r="AA69" s="19">
        <v>0</v>
      </c>
      <c r="AB69" s="19">
        <v>0</v>
      </c>
      <c r="AC69" s="186" t="str">
        <f>IF(OR(M69="13",M69="14",P69=8),"",IF(     AND(OR(S69="AUTORIZADO", S69="PENDIENTE", S69="REDUCIDO", S69="AMPLIADO"),L69&lt;&gt;"HONORARIO" ), _xlfn.CONCAT(IF(H69="X","H",H69),"_",IF(OR(P69=5,P69=6),_xlfn.CONCAT(P69,"A"),P69),"_",VLOOKUP(T69,Datos!$B$2:$C$5,2,TRUE)),""))</f>
        <v>H_5B_[4 a 10]</v>
      </c>
      <c r="AD69" s="186">
        <f t="shared" si="37"/>
        <v>0</v>
      </c>
      <c r="AE69" s="90" t="str">
        <f t="shared" si="38"/>
        <v>-</v>
      </c>
      <c r="AF69" s="91" t="str">
        <f t="shared" si="39"/>
        <v>071901</v>
      </c>
      <c r="AG69" s="92"/>
      <c r="AH69" s="93" t="str">
        <f t="shared" si="40"/>
        <v>Comité Innova Chile</v>
      </c>
      <c r="AI69" s="90" t="str">
        <f t="shared" si="41"/>
        <v>-</v>
      </c>
      <c r="AJ69" s="90">
        <f t="shared" si="42"/>
        <v>6</v>
      </c>
      <c r="AK69" s="90" t="str">
        <f t="shared" si="43"/>
        <v>-</v>
      </c>
      <c r="AL69" s="90" t="str">
        <f t="shared" si="44"/>
        <v>Identifica este registro como HOMBRE</v>
      </c>
      <c r="AM69" s="90" t="str">
        <f t="shared" si="45"/>
        <v>-</v>
      </c>
      <c r="AN69" s="90" t="str">
        <f t="shared" si="46"/>
        <v>-</v>
      </c>
      <c r="AO69" s="90" t="str">
        <f t="shared" si="47"/>
        <v>-</v>
      </c>
      <c r="AP69" s="58" t="str">
        <f t="shared" si="48"/>
        <v>-</v>
      </c>
      <c r="AQ69" s="94" t="str">
        <f t="shared" si="49"/>
        <v>-</v>
      </c>
      <c r="AR69" s="94" t="str">
        <f>IF(N69="","PRIMER_DIA en blanco",
IF(AND(M69="01",N69&gt;=L_Conversion!$C$118,N69&lt;=L_Conversion!$D$118),"-",
IF(AND(M69="02",N69&gt;=L_Conversion!$C$119,N69&lt;=L_Conversion!$D$119),"-",
IF(AND(M69="03",N69&gt;=L_Conversion!$C$120,N69&lt;=L_Conversion!$D$120),"-",
IF(AND(M69="04",N69&gt;=L_Conversion!$C$121,N69&lt;=L_Conversion!$D$121),"-",
IF(AND(M69="05",N69&gt;=L_Conversion!$C$122,N69&lt;=L_Conversion!$D$122),"-",
IF(AND(M69="06",N69&gt;=L_Conversion!$C$123,N69&lt;=L_Conversion!$D$123),"-",
IF(AND(M69="07",N69&gt;=L_Conversion!$C$124,N69&lt;=L_Conversion!$D$124),"-",
IF(AND(M69="08",N69&gt;=L_Conversion!$C$125,N69&lt;=L_Conversion!$D$125),"-",
IF(AND(M69="09",N69&gt;=L_Conversion!$C$126,N69&lt;=L_Conversion!$D$126),"-",
IF(AND(M69="10",N69&gt;=L_Conversion!$C$127,N69&lt;=L_Conversion!$D$127),"-",
IF(AND(M69="11",N69&gt;=L_Conversion!$C$128,N69&lt;=L_Conversion!$D$128),"-",
IF(AND(M69="12",N69&gt;=L_Conversion!$C$129,N69&lt;=L_Conversion!$D$129),"-",
IF(AND(M69="13",N69&gt;=L_Conversion!$C$116,N69&lt;=L_Conversion!$D$116),"-",
IF(AND(M69="14",N69&gt;=L_Conversion!$C$117,N69&lt;=L_Conversion!$D$117),"-",
"PRIMER_DIA fuera de rango")))))))))))))))</f>
        <v>-</v>
      </c>
      <c r="AS69" s="94" t="str">
        <f t="shared" si="50"/>
        <v>-</v>
      </c>
      <c r="AT69" s="94" t="str">
        <f t="shared" si="51"/>
        <v>-</v>
      </c>
      <c r="AU69" s="94" t="str">
        <f t="shared" si="52"/>
        <v>-</v>
      </c>
      <c r="AV69" s="94" t="str">
        <f t="shared" si="53"/>
        <v>-</v>
      </c>
      <c r="AW69" s="94" t="str">
        <f t="shared" si="54"/>
        <v>-</v>
      </c>
      <c r="AX69" s="94" t="str">
        <f t="shared" si="55"/>
        <v>-</v>
      </c>
      <c r="AY69" s="94" t="str">
        <f t="shared" si="56"/>
        <v>-</v>
      </c>
      <c r="AZ69" s="94" t="str">
        <f t="shared" si="57"/>
        <v>-</v>
      </c>
      <c r="BA69" s="94" t="str">
        <f t="shared" si="58"/>
        <v>-</v>
      </c>
      <c r="BB69" s="94" t="str">
        <f t="shared" si="59"/>
        <v>-</v>
      </c>
      <c r="BC69" s="94" t="str">
        <f t="shared" si="60"/>
        <v>-</v>
      </c>
      <c r="BD69" s="94" t="str">
        <f t="shared" si="61"/>
        <v>-</v>
      </c>
      <c r="BE69" s="94" t="str">
        <f t="shared" si="62"/>
        <v>-</v>
      </c>
      <c r="BF69" s="94" t="str">
        <f t="shared" si="63"/>
        <v>-</v>
      </c>
      <c r="BG69" s="186" t="str">
        <f>IF(OR(AQ69="13",AQ69="14",AT69=8),"",IF(     AND(OR(AW69="AUTORIZADO", AW69="PENDIENTE", AW69="REDUCIDO", AW69="AMPLIADO"),AP69&lt;&gt;"HONORARIO" ), _xlfn.CONCAT(IF(AL69="X","H",AL69),"_",IF(OR(AT69=5,AT69=6),_xlfn.CONCAT(AT69,"A"),AT69),"_",VLOOKUP(AX69,Datos!$B$2:$C$5,2,TRUE)),""))</f>
        <v/>
      </c>
    </row>
    <row r="70" spans="1:59" x14ac:dyDescent="0.2">
      <c r="A70" s="19" t="s">
        <v>1193</v>
      </c>
      <c r="B70" s="19" t="s">
        <v>81</v>
      </c>
      <c r="C70" s="19">
        <v>16567276</v>
      </c>
      <c r="D70" s="19">
        <v>3</v>
      </c>
      <c r="E70" s="19" t="s">
        <v>1283</v>
      </c>
      <c r="F70" s="19" t="s">
        <v>1284</v>
      </c>
      <c r="G70" s="19" t="s">
        <v>1285</v>
      </c>
      <c r="H70" s="19" t="s">
        <v>654</v>
      </c>
      <c r="I70" s="19" t="s">
        <v>653</v>
      </c>
      <c r="J70" s="19">
        <v>80</v>
      </c>
      <c r="K70" s="19" t="s">
        <v>556</v>
      </c>
      <c r="L70" s="19" t="s">
        <v>495</v>
      </c>
      <c r="M70" s="19" t="s">
        <v>10</v>
      </c>
      <c r="N70" s="19">
        <v>45908</v>
      </c>
      <c r="O70" s="19">
        <v>15</v>
      </c>
      <c r="P70" s="83">
        <v>1</v>
      </c>
      <c r="Q70" s="19" t="s">
        <v>23</v>
      </c>
      <c r="R70" s="19" t="s">
        <v>11</v>
      </c>
      <c r="S70" s="19" t="s">
        <v>23</v>
      </c>
      <c r="T70" s="19">
        <v>15</v>
      </c>
      <c r="U70" s="19" t="s">
        <v>11</v>
      </c>
      <c r="V70" s="19" t="s">
        <v>11</v>
      </c>
      <c r="W70" s="19" t="s">
        <v>11</v>
      </c>
      <c r="X70" s="19">
        <v>0</v>
      </c>
      <c r="Y70" s="19" t="s">
        <v>730</v>
      </c>
      <c r="Z70" s="19">
        <v>0</v>
      </c>
      <c r="AA70" s="19">
        <v>0</v>
      </c>
      <c r="AB70" s="19">
        <v>0</v>
      </c>
      <c r="AC70" s="186" t="str">
        <f>IF(OR(M70="13",M70="14",P70=8),"",IF(     AND(OR(S70="AUTORIZADO", S70="PENDIENTE", S70="REDUCIDO", S70="AMPLIADO"),L70&lt;&gt;"HONORARIO" ), _xlfn.CONCAT(IF(H70="X","H",H70),"_",IF(OR(P70=5,P70=6),_xlfn.CONCAT(P70,"A"),P70),"_",VLOOKUP(T70,Datos!$B$2:$C$5,2,TRUE)),""))</f>
        <v>H_1_[11 +]</v>
      </c>
      <c r="AD70" s="186">
        <f t="shared" si="37"/>
        <v>0</v>
      </c>
      <c r="AE70" s="90" t="str">
        <f t="shared" si="38"/>
        <v>-</v>
      </c>
      <c r="AF70" s="91" t="str">
        <f t="shared" si="39"/>
        <v>071901</v>
      </c>
      <c r="AG70" s="92"/>
      <c r="AH70" s="93" t="str">
        <f t="shared" si="40"/>
        <v>Comité Innova Chile</v>
      </c>
      <c r="AI70" s="90" t="str">
        <f t="shared" si="41"/>
        <v>-</v>
      </c>
      <c r="AJ70" s="90">
        <f t="shared" si="42"/>
        <v>3</v>
      </c>
      <c r="AK70" s="90" t="str">
        <f t="shared" si="43"/>
        <v>-</v>
      </c>
      <c r="AL70" s="90" t="str">
        <f t="shared" si="44"/>
        <v>Identifica este registro como HOMBRE</v>
      </c>
      <c r="AM70" s="90" t="str">
        <f t="shared" si="45"/>
        <v>-</v>
      </c>
      <c r="AN70" s="90" t="str">
        <f t="shared" si="46"/>
        <v>-</v>
      </c>
      <c r="AO70" s="90" t="str">
        <f t="shared" si="47"/>
        <v>-</v>
      </c>
      <c r="AP70" s="58" t="str">
        <f t="shared" si="48"/>
        <v>-</v>
      </c>
      <c r="AQ70" s="94" t="str">
        <f t="shared" si="49"/>
        <v>-</v>
      </c>
      <c r="AR70" s="94" t="str">
        <f>IF(N70="","PRIMER_DIA en blanco",
IF(AND(M70="01",N70&gt;=L_Conversion!$C$118,N70&lt;=L_Conversion!$D$118),"-",
IF(AND(M70="02",N70&gt;=L_Conversion!$C$119,N70&lt;=L_Conversion!$D$119),"-",
IF(AND(M70="03",N70&gt;=L_Conversion!$C$120,N70&lt;=L_Conversion!$D$120),"-",
IF(AND(M70="04",N70&gt;=L_Conversion!$C$121,N70&lt;=L_Conversion!$D$121),"-",
IF(AND(M70="05",N70&gt;=L_Conversion!$C$122,N70&lt;=L_Conversion!$D$122),"-",
IF(AND(M70="06",N70&gt;=L_Conversion!$C$123,N70&lt;=L_Conversion!$D$123),"-",
IF(AND(M70="07",N70&gt;=L_Conversion!$C$124,N70&lt;=L_Conversion!$D$124),"-",
IF(AND(M70="08",N70&gt;=L_Conversion!$C$125,N70&lt;=L_Conversion!$D$125),"-",
IF(AND(M70="09",N70&gt;=L_Conversion!$C$126,N70&lt;=L_Conversion!$D$126),"-",
IF(AND(M70="10",N70&gt;=L_Conversion!$C$127,N70&lt;=L_Conversion!$D$127),"-",
IF(AND(M70="11",N70&gt;=L_Conversion!$C$128,N70&lt;=L_Conversion!$D$128),"-",
IF(AND(M70="12",N70&gt;=L_Conversion!$C$129,N70&lt;=L_Conversion!$D$129),"-",
IF(AND(M70="13",N70&gt;=L_Conversion!$C$116,N70&lt;=L_Conversion!$D$116),"-",
IF(AND(M70="14",N70&gt;=L_Conversion!$C$117,N70&lt;=L_Conversion!$D$117),"-",
"PRIMER_DIA fuera de rango")))))))))))))))</f>
        <v>-</v>
      </c>
      <c r="AS70" s="94" t="str">
        <f t="shared" si="50"/>
        <v>-</v>
      </c>
      <c r="AT70" s="94" t="str">
        <f t="shared" si="51"/>
        <v>-</v>
      </c>
      <c r="AU70" s="94" t="str">
        <f t="shared" si="52"/>
        <v>-</v>
      </c>
      <c r="AV70" s="94" t="str">
        <f t="shared" si="53"/>
        <v>-</v>
      </c>
      <c r="AW70" s="94" t="str">
        <f t="shared" si="54"/>
        <v>-</v>
      </c>
      <c r="AX70" s="94" t="str">
        <f t="shared" si="55"/>
        <v>-</v>
      </c>
      <c r="AY70" s="94" t="str">
        <f t="shared" si="56"/>
        <v>-</v>
      </c>
      <c r="AZ70" s="94" t="str">
        <f t="shared" si="57"/>
        <v>-</v>
      </c>
      <c r="BA70" s="94" t="str">
        <f t="shared" si="58"/>
        <v>-</v>
      </c>
      <c r="BB70" s="94" t="str">
        <f t="shared" si="59"/>
        <v>-</v>
      </c>
      <c r="BC70" s="94" t="str">
        <f t="shared" si="60"/>
        <v>-</v>
      </c>
      <c r="BD70" s="94" t="str">
        <f t="shared" si="61"/>
        <v>-</v>
      </c>
      <c r="BE70" s="94" t="str">
        <f t="shared" si="62"/>
        <v>-</v>
      </c>
      <c r="BF70" s="94" t="str">
        <f t="shared" si="63"/>
        <v>-</v>
      </c>
      <c r="BG70" s="186" t="str">
        <f>IF(OR(AQ70="13",AQ70="14",AT70=8),"",IF(     AND(OR(AW70="AUTORIZADO", AW70="PENDIENTE", AW70="REDUCIDO", AW70="AMPLIADO"),AP70&lt;&gt;"HONORARIO" ), _xlfn.CONCAT(IF(AL70="X","H",AL70),"_",IF(OR(AT70=5,AT70=6),_xlfn.CONCAT(AT70,"A"),AT70),"_",VLOOKUP(AX70,Datos!$B$2:$C$5,2,TRUE)),""))</f>
        <v/>
      </c>
    </row>
    <row r="71" spans="1:59" x14ac:dyDescent="0.2">
      <c r="A71" s="19" t="s">
        <v>1193</v>
      </c>
      <c r="B71" s="19" t="s">
        <v>81</v>
      </c>
      <c r="C71" s="19">
        <v>18540744</v>
      </c>
      <c r="D71" s="19">
        <v>6</v>
      </c>
      <c r="E71" s="19" t="s">
        <v>1292</v>
      </c>
      <c r="F71" s="19" t="s">
        <v>1235</v>
      </c>
      <c r="G71" s="19" t="s">
        <v>1293</v>
      </c>
      <c r="H71" s="19" t="s">
        <v>654</v>
      </c>
      <c r="I71" s="19" t="s">
        <v>653</v>
      </c>
      <c r="J71" s="19">
        <v>80</v>
      </c>
      <c r="K71" s="19" t="s">
        <v>556</v>
      </c>
      <c r="L71" s="19" t="s">
        <v>495</v>
      </c>
      <c r="M71" s="19" t="s">
        <v>10</v>
      </c>
      <c r="N71" s="19">
        <v>45929</v>
      </c>
      <c r="O71" s="19">
        <v>15</v>
      </c>
      <c r="P71" s="83">
        <v>1</v>
      </c>
      <c r="Q71" s="19" t="s">
        <v>23</v>
      </c>
      <c r="R71" s="19" t="s">
        <v>11</v>
      </c>
      <c r="S71" s="19" t="s">
        <v>23</v>
      </c>
      <c r="T71" s="19">
        <v>15</v>
      </c>
      <c r="U71" s="19" t="s">
        <v>11</v>
      </c>
      <c r="V71" s="19" t="s">
        <v>11</v>
      </c>
      <c r="W71" s="19" t="s">
        <v>11</v>
      </c>
      <c r="X71" s="19">
        <v>0</v>
      </c>
      <c r="Y71" s="19" t="s">
        <v>730</v>
      </c>
      <c r="Z71" s="19">
        <v>0</v>
      </c>
      <c r="AA71" s="19">
        <v>0</v>
      </c>
      <c r="AB71" s="19">
        <v>0</v>
      </c>
      <c r="AC71" s="186" t="str">
        <f>IF(OR(M71="13",M71="14",P71=8),"",IF(     AND(OR(S71="AUTORIZADO", S71="PENDIENTE", S71="REDUCIDO", S71="AMPLIADO"),L71&lt;&gt;"HONORARIO" ), _xlfn.CONCAT(IF(H71="X","H",H71),"_",IF(OR(P71=5,P71=6),_xlfn.CONCAT(P71,"A"),P71),"_",VLOOKUP(T71,Datos!$B$2:$C$5,2,TRUE)),""))</f>
        <v>H_1_[11 +]</v>
      </c>
      <c r="AD71" s="186">
        <f t="shared" si="37"/>
        <v>0</v>
      </c>
      <c r="AE71" s="90" t="str">
        <f t="shared" si="38"/>
        <v>-</v>
      </c>
      <c r="AF71" s="91" t="str">
        <f t="shared" si="39"/>
        <v>071901</v>
      </c>
      <c r="AG71" s="92"/>
      <c r="AH71" s="93" t="str">
        <f t="shared" si="40"/>
        <v>Comité Innova Chile</v>
      </c>
      <c r="AI71" s="90" t="str">
        <f t="shared" si="41"/>
        <v>-</v>
      </c>
      <c r="AJ71" s="90">
        <f t="shared" si="42"/>
        <v>6</v>
      </c>
      <c r="AK71" s="90" t="str">
        <f t="shared" si="43"/>
        <v>-</v>
      </c>
      <c r="AL71" s="90" t="str">
        <f t="shared" si="44"/>
        <v>Identifica este registro como HOMBRE</v>
      </c>
      <c r="AM71" s="90" t="str">
        <f t="shared" si="45"/>
        <v>-</v>
      </c>
      <c r="AN71" s="90" t="str">
        <f t="shared" si="46"/>
        <v>-</v>
      </c>
      <c r="AO71" s="90" t="str">
        <f t="shared" si="47"/>
        <v>-</v>
      </c>
      <c r="AP71" s="58" t="str">
        <f t="shared" si="48"/>
        <v>-</v>
      </c>
      <c r="AQ71" s="94" t="str">
        <f t="shared" si="49"/>
        <v>-</v>
      </c>
      <c r="AR71" s="94" t="str">
        <f>IF(N71="","PRIMER_DIA en blanco",
IF(AND(M71="01",N71&gt;=L_Conversion!$C$118,N71&lt;=L_Conversion!$D$118),"-",
IF(AND(M71="02",N71&gt;=L_Conversion!$C$119,N71&lt;=L_Conversion!$D$119),"-",
IF(AND(M71="03",N71&gt;=L_Conversion!$C$120,N71&lt;=L_Conversion!$D$120),"-",
IF(AND(M71="04",N71&gt;=L_Conversion!$C$121,N71&lt;=L_Conversion!$D$121),"-",
IF(AND(M71="05",N71&gt;=L_Conversion!$C$122,N71&lt;=L_Conversion!$D$122),"-",
IF(AND(M71="06",N71&gt;=L_Conversion!$C$123,N71&lt;=L_Conversion!$D$123),"-",
IF(AND(M71="07",N71&gt;=L_Conversion!$C$124,N71&lt;=L_Conversion!$D$124),"-",
IF(AND(M71="08",N71&gt;=L_Conversion!$C$125,N71&lt;=L_Conversion!$D$125),"-",
IF(AND(M71="09",N71&gt;=L_Conversion!$C$126,N71&lt;=L_Conversion!$D$126),"-",
IF(AND(M71="10",N71&gt;=L_Conversion!$C$127,N71&lt;=L_Conversion!$D$127),"-",
IF(AND(M71="11",N71&gt;=L_Conversion!$C$128,N71&lt;=L_Conversion!$D$128),"-",
IF(AND(M71="12",N71&gt;=L_Conversion!$C$129,N71&lt;=L_Conversion!$D$129),"-",
IF(AND(M71="13",N71&gt;=L_Conversion!$C$116,N71&lt;=L_Conversion!$D$116),"-",
IF(AND(M71="14",N71&gt;=L_Conversion!$C$117,N71&lt;=L_Conversion!$D$117),"-",
"PRIMER_DIA fuera de rango")))))))))))))))</f>
        <v>-</v>
      </c>
      <c r="AS71" s="94" t="str">
        <f t="shared" si="50"/>
        <v>-</v>
      </c>
      <c r="AT71" s="94" t="str">
        <f t="shared" si="51"/>
        <v>-</v>
      </c>
      <c r="AU71" s="94" t="str">
        <f t="shared" si="52"/>
        <v>-</v>
      </c>
      <c r="AV71" s="94" t="str">
        <f t="shared" si="53"/>
        <v>-</v>
      </c>
      <c r="AW71" s="94" t="str">
        <f t="shared" si="54"/>
        <v>-</v>
      </c>
      <c r="AX71" s="94" t="str">
        <f t="shared" si="55"/>
        <v>-</v>
      </c>
      <c r="AY71" s="94" t="str">
        <f t="shared" si="56"/>
        <v>-</v>
      </c>
      <c r="AZ71" s="94" t="str">
        <f t="shared" si="57"/>
        <v>-</v>
      </c>
      <c r="BA71" s="94" t="str">
        <f t="shared" si="58"/>
        <v>-</v>
      </c>
      <c r="BB71" s="94" t="str">
        <f t="shared" si="59"/>
        <v>-</v>
      </c>
      <c r="BC71" s="94" t="str">
        <f t="shared" si="60"/>
        <v>-</v>
      </c>
      <c r="BD71" s="94" t="str">
        <f t="shared" si="61"/>
        <v>-</v>
      </c>
      <c r="BE71" s="94" t="str">
        <f t="shared" si="62"/>
        <v>-</v>
      </c>
      <c r="BF71" s="94" t="str">
        <f t="shared" si="63"/>
        <v>-</v>
      </c>
      <c r="BG71" s="186" t="str">
        <f>IF(OR(AQ71="13",AQ71="14",AT71=8),"",IF(     AND(OR(AW71="AUTORIZADO", AW71="PENDIENTE", AW71="REDUCIDO", AW71="AMPLIADO"),AP71&lt;&gt;"HONORARIO" ), _xlfn.CONCAT(IF(AL71="X","H",AL71),"_",IF(OR(AT71=5,AT71=6),_xlfn.CONCAT(AT71,"A"),AT71),"_",VLOOKUP(AX71,Datos!$B$2:$C$5,2,TRUE)),""))</f>
        <v/>
      </c>
    </row>
    <row r="72" spans="1:59" x14ac:dyDescent="0.2">
      <c r="A72" s="19" t="s">
        <v>1193</v>
      </c>
      <c r="B72" s="19" t="s">
        <v>81</v>
      </c>
      <c r="C72" s="19">
        <v>16410183</v>
      </c>
      <c r="D72" s="19">
        <v>5</v>
      </c>
      <c r="E72" s="19" t="s">
        <v>1250</v>
      </c>
      <c r="F72" s="19" t="s">
        <v>1250</v>
      </c>
      <c r="G72" s="19" t="s">
        <v>1251</v>
      </c>
      <c r="H72" s="19" t="s">
        <v>1018</v>
      </c>
      <c r="I72" s="19" t="s">
        <v>653</v>
      </c>
      <c r="J72" s="19">
        <v>80</v>
      </c>
      <c r="K72" s="19" t="s">
        <v>556</v>
      </c>
      <c r="L72" s="19" t="s">
        <v>495</v>
      </c>
      <c r="M72" s="19" t="s">
        <v>269</v>
      </c>
      <c r="N72" s="19">
        <v>45934</v>
      </c>
      <c r="O72" s="19">
        <v>30</v>
      </c>
      <c r="P72" s="83">
        <v>1</v>
      </c>
      <c r="Q72" s="19" t="s">
        <v>23</v>
      </c>
      <c r="R72" s="19" t="s">
        <v>11</v>
      </c>
      <c r="S72" s="19" t="s">
        <v>23</v>
      </c>
      <c r="T72" s="19">
        <v>30</v>
      </c>
      <c r="U72" s="19" t="s">
        <v>11</v>
      </c>
      <c r="V72" s="19" t="s">
        <v>11</v>
      </c>
      <c r="W72" s="19" t="s">
        <v>11</v>
      </c>
      <c r="X72" s="19">
        <v>0</v>
      </c>
      <c r="Y72" s="19" t="s">
        <v>730</v>
      </c>
      <c r="Z72" s="19">
        <v>0</v>
      </c>
      <c r="AA72" s="19">
        <v>0</v>
      </c>
      <c r="AB72" s="19">
        <v>0</v>
      </c>
      <c r="AC72" s="186" t="str">
        <f>IF(OR(M72="13",M72="14",P72=8),"",IF(     AND(OR(S72="AUTORIZADO", S72="PENDIENTE", S72="REDUCIDO", S72="AMPLIADO"),L72&lt;&gt;"HONORARIO" ), _xlfn.CONCAT(IF(H72="X","H",H72),"_",IF(OR(P72=5,P72=6),_xlfn.CONCAT(P72,"A"),P72),"_",VLOOKUP(T72,Datos!$B$2:$C$5,2,TRUE)),""))</f>
        <v>M_1_[11 +]</v>
      </c>
      <c r="AD72" s="186">
        <f t="shared" si="37"/>
        <v>0</v>
      </c>
      <c r="AE72" s="90" t="str">
        <f t="shared" si="38"/>
        <v>-</v>
      </c>
      <c r="AF72" s="91" t="str">
        <f t="shared" si="39"/>
        <v>071901</v>
      </c>
      <c r="AG72" s="92"/>
      <c r="AH72" s="93" t="str">
        <f t="shared" si="40"/>
        <v>Comité Innova Chile</v>
      </c>
      <c r="AI72" s="90" t="str">
        <f t="shared" si="41"/>
        <v>-</v>
      </c>
      <c r="AJ72" s="90">
        <f t="shared" si="42"/>
        <v>5</v>
      </c>
      <c r="AK72" s="90" t="str">
        <f t="shared" si="43"/>
        <v>-</v>
      </c>
      <c r="AL72" s="90" t="str">
        <f t="shared" si="44"/>
        <v>Identifica este registro como MUJER</v>
      </c>
      <c r="AM72" s="90" t="str">
        <f t="shared" si="45"/>
        <v>-</v>
      </c>
      <c r="AN72" s="90" t="str">
        <f t="shared" si="46"/>
        <v>-</v>
      </c>
      <c r="AO72" s="90" t="str">
        <f t="shared" si="47"/>
        <v>-</v>
      </c>
      <c r="AP72" s="58" t="str">
        <f t="shared" si="48"/>
        <v>-</v>
      </c>
      <c r="AQ72" s="94" t="str">
        <f t="shared" si="49"/>
        <v>-</v>
      </c>
      <c r="AR72" s="94" t="str">
        <f>IF(N72="","PRIMER_DIA en blanco",
IF(AND(M72="01",N72&gt;=L_Conversion!$C$118,N72&lt;=L_Conversion!$D$118),"-",
IF(AND(M72="02",N72&gt;=L_Conversion!$C$119,N72&lt;=L_Conversion!$D$119),"-",
IF(AND(M72="03",N72&gt;=L_Conversion!$C$120,N72&lt;=L_Conversion!$D$120),"-",
IF(AND(M72="04",N72&gt;=L_Conversion!$C$121,N72&lt;=L_Conversion!$D$121),"-",
IF(AND(M72="05",N72&gt;=L_Conversion!$C$122,N72&lt;=L_Conversion!$D$122),"-",
IF(AND(M72="06",N72&gt;=L_Conversion!$C$123,N72&lt;=L_Conversion!$D$123),"-",
IF(AND(M72="07",N72&gt;=L_Conversion!$C$124,N72&lt;=L_Conversion!$D$124),"-",
IF(AND(M72="08",N72&gt;=L_Conversion!$C$125,N72&lt;=L_Conversion!$D$125),"-",
IF(AND(M72="09",N72&gt;=L_Conversion!$C$126,N72&lt;=L_Conversion!$D$126),"-",
IF(AND(M72="10",N72&gt;=L_Conversion!$C$127,N72&lt;=L_Conversion!$D$127),"-",
IF(AND(M72="11",N72&gt;=L_Conversion!$C$128,N72&lt;=L_Conversion!$D$128),"-",
IF(AND(M72="12",N72&gt;=L_Conversion!$C$129,N72&lt;=L_Conversion!$D$129),"-",
IF(AND(M72="13",N72&gt;=L_Conversion!$C$116,N72&lt;=L_Conversion!$D$116),"-",
IF(AND(M72="14",N72&gt;=L_Conversion!$C$117,N72&lt;=L_Conversion!$D$117),"-",
"PRIMER_DIA fuera de rango")))))))))))))))</f>
        <v>-</v>
      </c>
      <c r="AS72" s="94" t="str">
        <f t="shared" si="50"/>
        <v>-</v>
      </c>
      <c r="AT72" s="94" t="str">
        <f t="shared" si="51"/>
        <v>-</v>
      </c>
      <c r="AU72" s="94" t="str">
        <f t="shared" si="52"/>
        <v>-</v>
      </c>
      <c r="AV72" s="94" t="str">
        <f t="shared" si="53"/>
        <v>-</v>
      </c>
      <c r="AW72" s="94" t="str">
        <f t="shared" si="54"/>
        <v>-</v>
      </c>
      <c r="AX72" s="94" t="str">
        <f t="shared" si="55"/>
        <v>-</v>
      </c>
      <c r="AY72" s="94" t="str">
        <f t="shared" si="56"/>
        <v>-</v>
      </c>
      <c r="AZ72" s="94" t="str">
        <f t="shared" si="57"/>
        <v>-</v>
      </c>
      <c r="BA72" s="94" t="str">
        <f t="shared" si="58"/>
        <v>-</v>
      </c>
      <c r="BB72" s="94" t="str">
        <f t="shared" si="59"/>
        <v>-</v>
      </c>
      <c r="BC72" s="94" t="str">
        <f t="shared" si="60"/>
        <v>-</v>
      </c>
      <c r="BD72" s="94" t="str">
        <f t="shared" si="61"/>
        <v>-</v>
      </c>
      <c r="BE72" s="94" t="str">
        <f t="shared" si="62"/>
        <v>-</v>
      </c>
      <c r="BF72" s="94" t="str">
        <f t="shared" si="63"/>
        <v>-</v>
      </c>
      <c r="BG72" s="186" t="str">
        <f>IF(OR(AQ72="13",AQ72="14",AT72=8),"",IF(     AND(OR(AW72="AUTORIZADO", AW72="PENDIENTE", AW72="REDUCIDO", AW72="AMPLIADO"),AP72&lt;&gt;"HONORARIO" ), _xlfn.CONCAT(IF(AL72="X","H",AL72),"_",IF(OR(AT72=5,AT72=6),_xlfn.CONCAT(AT72,"A"),AT72),"_",VLOOKUP(AX72,Datos!$B$2:$C$5,2,TRUE)),""))</f>
        <v/>
      </c>
    </row>
    <row r="73" spans="1:59" x14ac:dyDescent="0.2">
      <c r="A73" s="19" t="s">
        <v>1193</v>
      </c>
      <c r="B73" s="19" t="s">
        <v>81</v>
      </c>
      <c r="C73" s="19">
        <v>19706684</v>
      </c>
      <c r="D73" s="19">
        <v>9</v>
      </c>
      <c r="E73" s="19" t="s">
        <v>1264</v>
      </c>
      <c r="F73" s="19" t="s">
        <v>1265</v>
      </c>
      <c r="G73" s="19" t="s">
        <v>1266</v>
      </c>
      <c r="H73" s="19" t="s">
        <v>654</v>
      </c>
      <c r="I73" s="19" t="s">
        <v>653</v>
      </c>
      <c r="J73" s="19">
        <v>80</v>
      </c>
      <c r="K73" s="19" t="s">
        <v>556</v>
      </c>
      <c r="L73" s="19" t="s">
        <v>495</v>
      </c>
      <c r="M73" s="19" t="s">
        <v>269</v>
      </c>
      <c r="N73" s="19">
        <v>45937</v>
      </c>
      <c r="O73" s="19">
        <v>1</v>
      </c>
      <c r="P73" s="83">
        <v>1</v>
      </c>
      <c r="Q73" s="19" t="s">
        <v>23</v>
      </c>
      <c r="R73" s="19" t="s">
        <v>11</v>
      </c>
      <c r="S73" s="19" t="s">
        <v>23</v>
      </c>
      <c r="T73" s="19">
        <v>1</v>
      </c>
      <c r="U73" s="19" t="s">
        <v>11</v>
      </c>
      <c r="V73" s="19" t="s">
        <v>11</v>
      </c>
      <c r="W73" s="19" t="s">
        <v>11</v>
      </c>
      <c r="X73" s="19">
        <v>0</v>
      </c>
      <c r="Y73" s="19" t="s">
        <v>730</v>
      </c>
      <c r="Z73" s="19">
        <v>0</v>
      </c>
      <c r="AA73" s="19">
        <v>0</v>
      </c>
      <c r="AB73" s="19">
        <v>0</v>
      </c>
      <c r="AC73" s="186" t="str">
        <f>IF(OR(M73="13",M73="14",P73=8),"",IF(     AND(OR(S73="AUTORIZADO", S73="PENDIENTE", S73="REDUCIDO", S73="AMPLIADO"),L73&lt;&gt;"HONORARIO" ), _xlfn.CONCAT(IF(H73="X","H",H73),"_",IF(OR(P73=5,P73=6),_xlfn.CONCAT(P73,"A"),P73),"_",VLOOKUP(T73,Datos!$B$2:$C$5,2,TRUE)),""))</f>
        <v>H_1_[hasta 3]</v>
      </c>
      <c r="AD73" s="186">
        <f t="shared" si="37"/>
        <v>0</v>
      </c>
      <c r="AE73" s="90" t="str">
        <f t="shared" si="38"/>
        <v>-</v>
      </c>
      <c r="AF73" s="91" t="str">
        <f t="shared" si="39"/>
        <v>071901</v>
      </c>
      <c r="AG73" s="92"/>
      <c r="AH73" s="93" t="str">
        <f t="shared" si="40"/>
        <v>Comité Innova Chile</v>
      </c>
      <c r="AI73" s="90" t="str">
        <f t="shared" si="41"/>
        <v>-</v>
      </c>
      <c r="AJ73" s="90">
        <f t="shared" si="42"/>
        <v>9</v>
      </c>
      <c r="AK73" s="90" t="str">
        <f t="shared" si="43"/>
        <v>-</v>
      </c>
      <c r="AL73" s="90" t="str">
        <f t="shared" si="44"/>
        <v>Identifica este registro como HOMBRE</v>
      </c>
      <c r="AM73" s="90" t="str">
        <f t="shared" si="45"/>
        <v>-</v>
      </c>
      <c r="AN73" s="90" t="str">
        <f t="shared" si="46"/>
        <v>-</v>
      </c>
      <c r="AO73" s="90" t="str">
        <f t="shared" si="47"/>
        <v>-</v>
      </c>
      <c r="AP73" s="58" t="str">
        <f t="shared" si="48"/>
        <v>-</v>
      </c>
      <c r="AQ73" s="94" t="str">
        <f t="shared" si="49"/>
        <v>-</v>
      </c>
      <c r="AR73" s="94" t="str">
        <f>IF(N73="","PRIMER_DIA en blanco",
IF(AND(M73="01",N73&gt;=L_Conversion!$C$118,N73&lt;=L_Conversion!$D$118),"-",
IF(AND(M73="02",N73&gt;=L_Conversion!$C$119,N73&lt;=L_Conversion!$D$119),"-",
IF(AND(M73="03",N73&gt;=L_Conversion!$C$120,N73&lt;=L_Conversion!$D$120),"-",
IF(AND(M73="04",N73&gt;=L_Conversion!$C$121,N73&lt;=L_Conversion!$D$121),"-",
IF(AND(M73="05",N73&gt;=L_Conversion!$C$122,N73&lt;=L_Conversion!$D$122),"-",
IF(AND(M73="06",N73&gt;=L_Conversion!$C$123,N73&lt;=L_Conversion!$D$123),"-",
IF(AND(M73="07",N73&gt;=L_Conversion!$C$124,N73&lt;=L_Conversion!$D$124),"-",
IF(AND(M73="08",N73&gt;=L_Conversion!$C$125,N73&lt;=L_Conversion!$D$125),"-",
IF(AND(M73="09",N73&gt;=L_Conversion!$C$126,N73&lt;=L_Conversion!$D$126),"-",
IF(AND(M73="10",N73&gt;=L_Conversion!$C$127,N73&lt;=L_Conversion!$D$127),"-",
IF(AND(M73="11",N73&gt;=L_Conversion!$C$128,N73&lt;=L_Conversion!$D$128),"-",
IF(AND(M73="12",N73&gt;=L_Conversion!$C$129,N73&lt;=L_Conversion!$D$129),"-",
IF(AND(M73="13",N73&gt;=L_Conversion!$C$116,N73&lt;=L_Conversion!$D$116),"-",
IF(AND(M73="14",N73&gt;=L_Conversion!$C$117,N73&lt;=L_Conversion!$D$117),"-",
"PRIMER_DIA fuera de rango")))))))))))))))</f>
        <v>-</v>
      </c>
      <c r="AS73" s="94" t="str">
        <f t="shared" si="50"/>
        <v>-</v>
      </c>
      <c r="AT73" s="94" t="str">
        <f t="shared" si="51"/>
        <v>-</v>
      </c>
      <c r="AU73" s="94" t="str">
        <f t="shared" si="52"/>
        <v>-</v>
      </c>
      <c r="AV73" s="94" t="str">
        <f t="shared" si="53"/>
        <v>-</v>
      </c>
      <c r="AW73" s="94" t="str">
        <f t="shared" si="54"/>
        <v>-</v>
      </c>
      <c r="AX73" s="94" t="str">
        <f t="shared" si="55"/>
        <v>-</v>
      </c>
      <c r="AY73" s="94" t="str">
        <f t="shared" si="56"/>
        <v>-</v>
      </c>
      <c r="AZ73" s="94" t="str">
        <f t="shared" si="57"/>
        <v>-</v>
      </c>
      <c r="BA73" s="94" t="str">
        <f t="shared" si="58"/>
        <v>-</v>
      </c>
      <c r="BB73" s="94" t="str">
        <f t="shared" si="59"/>
        <v>-</v>
      </c>
      <c r="BC73" s="94" t="str">
        <f t="shared" si="60"/>
        <v>-</v>
      </c>
      <c r="BD73" s="94" t="str">
        <f t="shared" si="61"/>
        <v>-</v>
      </c>
      <c r="BE73" s="94" t="str">
        <f t="shared" si="62"/>
        <v>-</v>
      </c>
      <c r="BF73" s="94" t="str">
        <f t="shared" si="63"/>
        <v>-</v>
      </c>
      <c r="BG73" s="186" t="str">
        <f>IF(OR(AQ73="13",AQ73="14",AT73=8),"",IF(     AND(OR(AW73="AUTORIZADO", AW73="PENDIENTE", AW73="REDUCIDO", AW73="AMPLIADO"),AP73&lt;&gt;"HONORARIO" ), _xlfn.CONCAT(IF(AL73="X","H",AL73),"_",IF(OR(AT73=5,AT73=6),_xlfn.CONCAT(AT73,"A"),AT73),"_",VLOOKUP(AX73,Datos!$B$2:$C$5,2,TRUE)),""))</f>
        <v/>
      </c>
    </row>
    <row r="74" spans="1:59" x14ac:dyDescent="0.2">
      <c r="A74" s="19" t="s">
        <v>1193</v>
      </c>
      <c r="B74" s="19" t="s">
        <v>81</v>
      </c>
      <c r="C74" s="19">
        <v>16150023</v>
      </c>
      <c r="D74" s="19">
        <v>2</v>
      </c>
      <c r="E74" s="19" t="s">
        <v>1275</v>
      </c>
      <c r="F74" s="19" t="s">
        <v>1276</v>
      </c>
      <c r="G74" s="19" t="s">
        <v>1277</v>
      </c>
      <c r="H74" s="19" t="s">
        <v>1018</v>
      </c>
      <c r="I74" s="19" t="s">
        <v>653</v>
      </c>
      <c r="J74" s="19">
        <v>80</v>
      </c>
      <c r="K74" s="19" t="s">
        <v>556</v>
      </c>
      <c r="L74" s="19" t="s">
        <v>495</v>
      </c>
      <c r="M74" s="19" t="s">
        <v>269</v>
      </c>
      <c r="N74" s="19">
        <v>45946</v>
      </c>
      <c r="O74" s="19">
        <v>2</v>
      </c>
      <c r="P74" s="83">
        <v>1</v>
      </c>
      <c r="Q74" s="19" t="s">
        <v>23</v>
      </c>
      <c r="R74" s="19" t="s">
        <v>11</v>
      </c>
      <c r="S74" s="19" t="s">
        <v>23</v>
      </c>
      <c r="T74" s="19">
        <v>2</v>
      </c>
      <c r="U74" s="19" t="s">
        <v>11</v>
      </c>
      <c r="V74" s="19" t="s">
        <v>11</v>
      </c>
      <c r="W74" s="19" t="s">
        <v>11</v>
      </c>
      <c r="X74" s="19">
        <v>0</v>
      </c>
      <c r="Y74" s="19" t="s">
        <v>730</v>
      </c>
      <c r="Z74" s="19">
        <v>0</v>
      </c>
      <c r="AA74" s="19">
        <v>0</v>
      </c>
      <c r="AB74" s="19">
        <v>0</v>
      </c>
      <c r="AC74" s="186" t="str">
        <f>IF(OR(M74="13",M74="14",P74=8),"",IF(     AND(OR(S74="AUTORIZADO", S74="PENDIENTE", S74="REDUCIDO", S74="AMPLIADO"),L74&lt;&gt;"HONORARIO" ), _xlfn.CONCAT(IF(H74="X","H",H74),"_",IF(OR(P74=5,P74=6),_xlfn.CONCAT(P74,"A"),P74),"_",VLOOKUP(T74,Datos!$B$2:$C$5,2,TRUE)),""))</f>
        <v>M_1_[hasta 3]</v>
      </c>
      <c r="AD74" s="186">
        <f t="shared" si="37"/>
        <v>0</v>
      </c>
      <c r="AE74" s="90" t="str">
        <f t="shared" si="38"/>
        <v>-</v>
      </c>
      <c r="AF74" s="91" t="str">
        <f t="shared" si="39"/>
        <v>071901</v>
      </c>
      <c r="AG74" s="92"/>
      <c r="AH74" s="93" t="str">
        <f t="shared" si="40"/>
        <v>Comité Innova Chile</v>
      </c>
      <c r="AI74" s="90" t="str">
        <f t="shared" si="41"/>
        <v>-</v>
      </c>
      <c r="AJ74" s="90">
        <f t="shared" si="42"/>
        <v>2</v>
      </c>
      <c r="AK74" s="90" t="str">
        <f t="shared" si="43"/>
        <v>-</v>
      </c>
      <c r="AL74" s="90" t="str">
        <f t="shared" si="44"/>
        <v>Identifica este registro como MUJER</v>
      </c>
      <c r="AM74" s="90" t="str">
        <f t="shared" si="45"/>
        <v>-</v>
      </c>
      <c r="AN74" s="90" t="str">
        <f t="shared" si="46"/>
        <v>-</v>
      </c>
      <c r="AO74" s="90" t="str">
        <f t="shared" si="47"/>
        <v>-</v>
      </c>
      <c r="AP74" s="58" t="str">
        <f t="shared" si="48"/>
        <v>-</v>
      </c>
      <c r="AQ74" s="94" t="str">
        <f t="shared" si="49"/>
        <v>-</v>
      </c>
      <c r="AR74" s="94" t="str">
        <f>IF(N74="","PRIMER_DIA en blanco",
IF(AND(M74="01",N74&gt;=L_Conversion!$C$118,N74&lt;=L_Conversion!$D$118),"-",
IF(AND(M74="02",N74&gt;=L_Conversion!$C$119,N74&lt;=L_Conversion!$D$119),"-",
IF(AND(M74="03",N74&gt;=L_Conversion!$C$120,N74&lt;=L_Conversion!$D$120),"-",
IF(AND(M74="04",N74&gt;=L_Conversion!$C$121,N74&lt;=L_Conversion!$D$121),"-",
IF(AND(M74="05",N74&gt;=L_Conversion!$C$122,N74&lt;=L_Conversion!$D$122),"-",
IF(AND(M74="06",N74&gt;=L_Conversion!$C$123,N74&lt;=L_Conversion!$D$123),"-",
IF(AND(M74="07",N74&gt;=L_Conversion!$C$124,N74&lt;=L_Conversion!$D$124),"-",
IF(AND(M74="08",N74&gt;=L_Conversion!$C$125,N74&lt;=L_Conversion!$D$125),"-",
IF(AND(M74="09",N74&gt;=L_Conversion!$C$126,N74&lt;=L_Conversion!$D$126),"-",
IF(AND(M74="10",N74&gt;=L_Conversion!$C$127,N74&lt;=L_Conversion!$D$127),"-",
IF(AND(M74="11",N74&gt;=L_Conversion!$C$128,N74&lt;=L_Conversion!$D$128),"-",
IF(AND(M74="12",N74&gt;=L_Conversion!$C$129,N74&lt;=L_Conversion!$D$129),"-",
IF(AND(M74="13",N74&gt;=L_Conversion!$C$116,N74&lt;=L_Conversion!$D$116),"-",
IF(AND(M74="14",N74&gt;=L_Conversion!$C$117,N74&lt;=L_Conversion!$D$117),"-",
"PRIMER_DIA fuera de rango")))))))))))))))</f>
        <v>-</v>
      </c>
      <c r="AS74" s="94" t="str">
        <f t="shared" si="50"/>
        <v>-</v>
      </c>
      <c r="AT74" s="94" t="str">
        <f t="shared" si="51"/>
        <v>-</v>
      </c>
      <c r="AU74" s="94" t="str">
        <f t="shared" si="52"/>
        <v>-</v>
      </c>
      <c r="AV74" s="94" t="str">
        <f t="shared" si="53"/>
        <v>-</v>
      </c>
      <c r="AW74" s="94" t="str">
        <f t="shared" si="54"/>
        <v>-</v>
      </c>
      <c r="AX74" s="94" t="str">
        <f t="shared" si="55"/>
        <v>-</v>
      </c>
      <c r="AY74" s="94" t="str">
        <f t="shared" si="56"/>
        <v>-</v>
      </c>
      <c r="AZ74" s="94" t="str">
        <f t="shared" si="57"/>
        <v>-</v>
      </c>
      <c r="BA74" s="94" t="str">
        <f t="shared" si="58"/>
        <v>-</v>
      </c>
      <c r="BB74" s="94" t="str">
        <f t="shared" si="59"/>
        <v>-</v>
      </c>
      <c r="BC74" s="94" t="str">
        <f t="shared" si="60"/>
        <v>-</v>
      </c>
      <c r="BD74" s="94" t="str">
        <f t="shared" si="61"/>
        <v>-</v>
      </c>
      <c r="BE74" s="94" t="str">
        <f t="shared" si="62"/>
        <v>-</v>
      </c>
      <c r="BF74" s="94" t="str">
        <f t="shared" si="63"/>
        <v>-</v>
      </c>
      <c r="BG74" s="186" t="str">
        <f>IF(OR(AQ74="13",AQ74="14",AT74=8),"",IF(     AND(OR(AW74="AUTORIZADO", AW74="PENDIENTE", AW74="REDUCIDO", AW74="AMPLIADO"),AP74&lt;&gt;"HONORARIO" ), _xlfn.CONCAT(IF(AL74="X","H",AL74),"_",IF(OR(AT74=5,AT74=6),_xlfn.CONCAT(AT74,"A"),AT74),"_",VLOOKUP(AX74,Datos!$B$2:$C$5,2,TRUE)),""))</f>
        <v/>
      </c>
    </row>
    <row r="75" spans="1:59" x14ac:dyDescent="0.2">
      <c r="A75" s="19" t="s">
        <v>1193</v>
      </c>
      <c r="B75" s="19" t="s">
        <v>81</v>
      </c>
      <c r="C75" s="19">
        <v>16561661</v>
      </c>
      <c r="D75" s="19">
        <v>8</v>
      </c>
      <c r="E75" s="19" t="s">
        <v>1294</v>
      </c>
      <c r="F75" s="19" t="s">
        <v>1295</v>
      </c>
      <c r="G75" s="19" t="s">
        <v>1296</v>
      </c>
      <c r="H75" s="19" t="s">
        <v>1018</v>
      </c>
      <c r="I75" s="19" t="s">
        <v>653</v>
      </c>
      <c r="J75" s="19">
        <v>80</v>
      </c>
      <c r="K75" s="19" t="s">
        <v>554</v>
      </c>
      <c r="L75" s="19" t="s">
        <v>495</v>
      </c>
      <c r="M75" s="19" t="s">
        <v>269</v>
      </c>
      <c r="N75" s="19">
        <v>45951</v>
      </c>
      <c r="O75" s="19">
        <v>11</v>
      </c>
      <c r="P75" s="83">
        <v>1</v>
      </c>
      <c r="Q75" s="19" t="s">
        <v>23</v>
      </c>
      <c r="R75" s="19" t="s">
        <v>11</v>
      </c>
      <c r="S75" s="19" t="s">
        <v>23</v>
      </c>
      <c r="T75" s="19">
        <v>11</v>
      </c>
      <c r="U75" s="19" t="s">
        <v>11</v>
      </c>
      <c r="V75" s="19" t="s">
        <v>11</v>
      </c>
      <c r="W75" s="19" t="s">
        <v>11</v>
      </c>
      <c r="X75" s="19">
        <v>0</v>
      </c>
      <c r="Y75" s="19" t="s">
        <v>730</v>
      </c>
      <c r="Z75" s="19">
        <v>0</v>
      </c>
      <c r="AA75" s="19">
        <v>0</v>
      </c>
      <c r="AB75" s="19">
        <v>0</v>
      </c>
      <c r="AC75" s="186" t="str">
        <f>IF(OR(M75="13",M75="14",P75=8),"",IF(     AND(OR(S75="AUTORIZADO", S75="PENDIENTE", S75="REDUCIDO", S75="AMPLIADO"),L75&lt;&gt;"HONORARIO" ), _xlfn.CONCAT(IF(H75="X","H",H75),"_",IF(OR(P75=5,P75=6),_xlfn.CONCAT(P75,"A"),P75),"_",VLOOKUP(T75,Datos!$B$2:$C$5,2,TRUE)),""))</f>
        <v>M_1_[11 +]</v>
      </c>
      <c r="AD75" s="186">
        <f t="shared" si="37"/>
        <v>0</v>
      </c>
      <c r="AE75" s="90" t="str">
        <f t="shared" si="38"/>
        <v>-</v>
      </c>
      <c r="AF75" s="91" t="str">
        <f t="shared" si="39"/>
        <v>071901</v>
      </c>
      <c r="AG75" s="92"/>
      <c r="AH75" s="93" t="str">
        <f t="shared" si="40"/>
        <v>Comité Innova Chile</v>
      </c>
      <c r="AI75" s="90" t="str">
        <f t="shared" si="41"/>
        <v>-</v>
      </c>
      <c r="AJ75" s="90">
        <f t="shared" si="42"/>
        <v>8</v>
      </c>
      <c r="AK75" s="90" t="str">
        <f t="shared" si="43"/>
        <v>-</v>
      </c>
      <c r="AL75" s="90" t="str">
        <f t="shared" si="44"/>
        <v>Identifica este registro como MUJER</v>
      </c>
      <c r="AM75" s="90" t="str">
        <f t="shared" si="45"/>
        <v>-</v>
      </c>
      <c r="AN75" s="90" t="str">
        <f t="shared" si="46"/>
        <v>-</v>
      </c>
      <c r="AO75" s="90" t="str">
        <f t="shared" si="47"/>
        <v>-</v>
      </c>
      <c r="AP75" s="58" t="str">
        <f t="shared" si="48"/>
        <v>-</v>
      </c>
      <c r="AQ75" s="94" t="str">
        <f t="shared" si="49"/>
        <v>-</v>
      </c>
      <c r="AR75" s="94" t="str">
        <f>IF(N75="","PRIMER_DIA en blanco",
IF(AND(M75="01",N75&gt;=L_Conversion!$C$118,N75&lt;=L_Conversion!$D$118),"-",
IF(AND(M75="02",N75&gt;=L_Conversion!$C$119,N75&lt;=L_Conversion!$D$119),"-",
IF(AND(M75="03",N75&gt;=L_Conversion!$C$120,N75&lt;=L_Conversion!$D$120),"-",
IF(AND(M75="04",N75&gt;=L_Conversion!$C$121,N75&lt;=L_Conversion!$D$121),"-",
IF(AND(M75="05",N75&gt;=L_Conversion!$C$122,N75&lt;=L_Conversion!$D$122),"-",
IF(AND(M75="06",N75&gt;=L_Conversion!$C$123,N75&lt;=L_Conversion!$D$123),"-",
IF(AND(M75="07",N75&gt;=L_Conversion!$C$124,N75&lt;=L_Conversion!$D$124),"-",
IF(AND(M75="08",N75&gt;=L_Conversion!$C$125,N75&lt;=L_Conversion!$D$125),"-",
IF(AND(M75="09",N75&gt;=L_Conversion!$C$126,N75&lt;=L_Conversion!$D$126),"-",
IF(AND(M75="10",N75&gt;=L_Conversion!$C$127,N75&lt;=L_Conversion!$D$127),"-",
IF(AND(M75="11",N75&gt;=L_Conversion!$C$128,N75&lt;=L_Conversion!$D$128),"-",
IF(AND(M75="12",N75&gt;=L_Conversion!$C$129,N75&lt;=L_Conversion!$D$129),"-",
IF(AND(M75="13",N75&gt;=L_Conversion!$C$116,N75&lt;=L_Conversion!$D$116),"-",
IF(AND(M75="14",N75&gt;=L_Conversion!$C$117,N75&lt;=L_Conversion!$D$117),"-",
"PRIMER_DIA fuera de rango")))))))))))))))</f>
        <v>-</v>
      </c>
      <c r="AS75" s="94" t="str">
        <f t="shared" si="50"/>
        <v>-</v>
      </c>
      <c r="AT75" s="94" t="str">
        <f t="shared" si="51"/>
        <v>-</v>
      </c>
      <c r="AU75" s="94" t="str">
        <f t="shared" si="52"/>
        <v>-</v>
      </c>
      <c r="AV75" s="94" t="str">
        <f t="shared" si="53"/>
        <v>-</v>
      </c>
      <c r="AW75" s="94" t="str">
        <f t="shared" si="54"/>
        <v>-</v>
      </c>
      <c r="AX75" s="94" t="str">
        <f t="shared" si="55"/>
        <v>-</v>
      </c>
      <c r="AY75" s="94" t="str">
        <f t="shared" si="56"/>
        <v>-</v>
      </c>
      <c r="AZ75" s="94" t="str">
        <f t="shared" si="57"/>
        <v>-</v>
      </c>
      <c r="BA75" s="94" t="str">
        <f t="shared" si="58"/>
        <v>-</v>
      </c>
      <c r="BB75" s="94" t="str">
        <f t="shared" si="59"/>
        <v>-</v>
      </c>
      <c r="BC75" s="94" t="str">
        <f t="shared" si="60"/>
        <v>-</v>
      </c>
      <c r="BD75" s="94" t="str">
        <f t="shared" si="61"/>
        <v>-</v>
      </c>
      <c r="BE75" s="94" t="str">
        <f t="shared" si="62"/>
        <v>-</v>
      </c>
      <c r="BF75" s="94" t="str">
        <f t="shared" si="63"/>
        <v>-</v>
      </c>
      <c r="BG75" s="186" t="str">
        <f>IF(OR(AQ75="13",AQ75="14",AT75=8),"",IF(     AND(OR(AW75="AUTORIZADO", AW75="PENDIENTE", AW75="REDUCIDO", AW75="AMPLIADO"),AP75&lt;&gt;"HONORARIO" ), _xlfn.CONCAT(IF(AL75="X","H",AL75),"_",IF(OR(AT75=5,AT75=6),_xlfn.CONCAT(AT75,"A"),AT75),"_",VLOOKUP(AX75,Datos!$B$2:$C$5,2,TRUE)),""))</f>
        <v/>
      </c>
    </row>
    <row r="76" spans="1:59" x14ac:dyDescent="0.2">
      <c r="A76" s="19" t="s">
        <v>1193</v>
      </c>
      <c r="B76" s="19" t="s">
        <v>81</v>
      </c>
      <c r="C76" s="19">
        <v>9023216</v>
      </c>
      <c r="D76" s="19">
        <v>9</v>
      </c>
      <c r="E76" s="19" t="s">
        <v>1215</v>
      </c>
      <c r="F76" s="19" t="s">
        <v>1297</v>
      </c>
      <c r="G76" s="19" t="s">
        <v>1298</v>
      </c>
      <c r="H76" s="19" t="s">
        <v>1018</v>
      </c>
      <c r="I76" s="19" t="s">
        <v>653</v>
      </c>
      <c r="J76" s="19">
        <v>80</v>
      </c>
      <c r="K76" s="19" t="s">
        <v>556</v>
      </c>
      <c r="L76" s="19" t="s">
        <v>495</v>
      </c>
      <c r="M76" s="19" t="s">
        <v>269</v>
      </c>
      <c r="N76" s="19">
        <v>45952</v>
      </c>
      <c r="O76" s="19">
        <v>2</v>
      </c>
      <c r="P76" s="83">
        <v>1</v>
      </c>
      <c r="Q76" s="19" t="s">
        <v>23</v>
      </c>
      <c r="R76" s="19" t="s">
        <v>11</v>
      </c>
      <c r="S76" s="19" t="s">
        <v>23</v>
      </c>
      <c r="T76" s="19">
        <v>2</v>
      </c>
      <c r="U76" s="19" t="s">
        <v>11</v>
      </c>
      <c r="V76" s="19" t="s">
        <v>11</v>
      </c>
      <c r="W76" s="19" t="s">
        <v>11</v>
      </c>
      <c r="X76" s="19">
        <v>0</v>
      </c>
      <c r="Y76" s="19" t="s">
        <v>730</v>
      </c>
      <c r="Z76" s="19">
        <v>0</v>
      </c>
      <c r="AA76" s="19">
        <v>0</v>
      </c>
      <c r="AB76" s="19">
        <v>0</v>
      </c>
      <c r="AC76" s="186" t="str">
        <f>IF(OR(M76="13",M76="14",P76=8),"",IF(     AND(OR(S76="AUTORIZADO", S76="PENDIENTE", S76="REDUCIDO", S76="AMPLIADO"),L76&lt;&gt;"HONORARIO" ), _xlfn.CONCAT(IF(H76="X","H",H76),"_",IF(OR(P76=5,P76=6),_xlfn.CONCAT(P76,"A"),P76),"_",VLOOKUP(T76,Datos!$B$2:$C$5,2,TRUE)),""))</f>
        <v>M_1_[hasta 3]</v>
      </c>
      <c r="AD76" s="186">
        <f t="shared" si="37"/>
        <v>0</v>
      </c>
      <c r="AE76" s="90" t="str">
        <f t="shared" si="38"/>
        <v>-</v>
      </c>
      <c r="AF76" s="91" t="str">
        <f t="shared" si="39"/>
        <v>071901</v>
      </c>
      <c r="AG76" s="92"/>
      <c r="AH76" s="93" t="str">
        <f t="shared" si="40"/>
        <v>Comité Innova Chile</v>
      </c>
      <c r="AI76" s="90" t="str">
        <f t="shared" si="41"/>
        <v>-</v>
      </c>
      <c r="AJ76" s="90">
        <f t="shared" si="42"/>
        <v>9</v>
      </c>
      <c r="AK76" s="90" t="str">
        <f t="shared" si="43"/>
        <v>-</v>
      </c>
      <c r="AL76" s="90" t="str">
        <f t="shared" si="44"/>
        <v>Identifica este registro como MUJER</v>
      </c>
      <c r="AM76" s="90" t="str">
        <f t="shared" si="45"/>
        <v>-</v>
      </c>
      <c r="AN76" s="90" t="str">
        <f t="shared" si="46"/>
        <v>-</v>
      </c>
      <c r="AO76" s="90" t="str">
        <f t="shared" si="47"/>
        <v>-</v>
      </c>
      <c r="AP76" s="58" t="str">
        <f t="shared" si="48"/>
        <v>-</v>
      </c>
      <c r="AQ76" s="94" t="str">
        <f t="shared" si="49"/>
        <v>-</v>
      </c>
      <c r="AR76" s="94" t="str">
        <f>IF(N76="","PRIMER_DIA en blanco",
IF(AND(M76="01",N76&gt;=L_Conversion!$C$118,N76&lt;=L_Conversion!$D$118),"-",
IF(AND(M76="02",N76&gt;=L_Conversion!$C$119,N76&lt;=L_Conversion!$D$119),"-",
IF(AND(M76="03",N76&gt;=L_Conversion!$C$120,N76&lt;=L_Conversion!$D$120),"-",
IF(AND(M76="04",N76&gt;=L_Conversion!$C$121,N76&lt;=L_Conversion!$D$121),"-",
IF(AND(M76="05",N76&gt;=L_Conversion!$C$122,N76&lt;=L_Conversion!$D$122),"-",
IF(AND(M76="06",N76&gt;=L_Conversion!$C$123,N76&lt;=L_Conversion!$D$123),"-",
IF(AND(M76="07",N76&gt;=L_Conversion!$C$124,N76&lt;=L_Conversion!$D$124),"-",
IF(AND(M76="08",N76&gt;=L_Conversion!$C$125,N76&lt;=L_Conversion!$D$125),"-",
IF(AND(M76="09",N76&gt;=L_Conversion!$C$126,N76&lt;=L_Conversion!$D$126),"-",
IF(AND(M76="10",N76&gt;=L_Conversion!$C$127,N76&lt;=L_Conversion!$D$127),"-",
IF(AND(M76="11",N76&gt;=L_Conversion!$C$128,N76&lt;=L_Conversion!$D$128),"-",
IF(AND(M76="12",N76&gt;=L_Conversion!$C$129,N76&lt;=L_Conversion!$D$129),"-",
IF(AND(M76="13",N76&gt;=L_Conversion!$C$116,N76&lt;=L_Conversion!$D$116),"-",
IF(AND(M76="14",N76&gt;=L_Conversion!$C$117,N76&lt;=L_Conversion!$D$117),"-",
"PRIMER_DIA fuera de rango")))))))))))))))</f>
        <v>-</v>
      </c>
      <c r="AS76" s="94" t="str">
        <f t="shared" si="50"/>
        <v>-</v>
      </c>
      <c r="AT76" s="94" t="str">
        <f t="shared" si="51"/>
        <v>-</v>
      </c>
      <c r="AU76" s="94" t="str">
        <f t="shared" si="52"/>
        <v>-</v>
      </c>
      <c r="AV76" s="94" t="str">
        <f t="shared" si="53"/>
        <v>-</v>
      </c>
      <c r="AW76" s="94" t="str">
        <f t="shared" si="54"/>
        <v>-</v>
      </c>
      <c r="AX76" s="94" t="str">
        <f t="shared" si="55"/>
        <v>-</v>
      </c>
      <c r="AY76" s="94" t="str">
        <f t="shared" si="56"/>
        <v>-</v>
      </c>
      <c r="AZ76" s="94" t="str">
        <f t="shared" si="57"/>
        <v>-</v>
      </c>
      <c r="BA76" s="94" t="str">
        <f t="shared" si="58"/>
        <v>-</v>
      </c>
      <c r="BB76" s="94" t="str">
        <f t="shared" si="59"/>
        <v>-</v>
      </c>
      <c r="BC76" s="94" t="str">
        <f t="shared" si="60"/>
        <v>-</v>
      </c>
      <c r="BD76" s="94" t="str">
        <f t="shared" si="61"/>
        <v>-</v>
      </c>
      <c r="BE76" s="94" t="str">
        <f t="shared" si="62"/>
        <v>-</v>
      </c>
      <c r="BF76" s="94" t="str">
        <f t="shared" si="63"/>
        <v>-</v>
      </c>
      <c r="BG76" s="186" t="str">
        <f>IF(OR(AQ76="13",AQ76="14",AT76=8),"",IF(     AND(OR(AW76="AUTORIZADO", AW76="PENDIENTE", AW76="REDUCIDO", AW76="AMPLIADO"),AP76&lt;&gt;"HONORARIO" ), _xlfn.CONCAT(IF(AL76="X","H",AL76),"_",IF(OR(AT76=5,AT76=6),_xlfn.CONCAT(AT76,"A"),AT76),"_",VLOOKUP(AX76,Datos!$B$2:$C$5,2,TRUE)),""))</f>
        <v/>
      </c>
    </row>
    <row r="77" spans="1:59" x14ac:dyDescent="0.2">
      <c r="A77" s="19" t="s">
        <v>1193</v>
      </c>
      <c r="B77" s="19" t="s">
        <v>81</v>
      </c>
      <c r="C77" s="19">
        <v>19361760</v>
      </c>
      <c r="D77" s="19">
        <v>3</v>
      </c>
      <c r="E77" s="19" t="s">
        <v>1205</v>
      </c>
      <c r="F77" s="19" t="s">
        <v>1206</v>
      </c>
      <c r="G77" s="19" t="s">
        <v>1207</v>
      </c>
      <c r="H77" s="19" t="s">
        <v>1018</v>
      </c>
      <c r="I77" s="19" t="s">
        <v>653</v>
      </c>
      <c r="J77" s="19">
        <v>80</v>
      </c>
      <c r="K77" s="19" t="s">
        <v>556</v>
      </c>
      <c r="L77" s="19" t="s">
        <v>495</v>
      </c>
      <c r="M77" s="19" t="s">
        <v>269</v>
      </c>
      <c r="N77" s="19">
        <v>45959</v>
      </c>
      <c r="O77" s="19">
        <v>1</v>
      </c>
      <c r="P77" s="83">
        <v>1</v>
      </c>
      <c r="Q77" s="19" t="s">
        <v>23</v>
      </c>
      <c r="R77" s="19" t="s">
        <v>11</v>
      </c>
      <c r="S77" s="19" t="s">
        <v>23</v>
      </c>
      <c r="T77" s="19">
        <v>1</v>
      </c>
      <c r="U77" s="19" t="s">
        <v>11</v>
      </c>
      <c r="V77" s="19" t="s">
        <v>11</v>
      </c>
      <c r="W77" s="19" t="s">
        <v>11</v>
      </c>
      <c r="X77" s="19">
        <v>0</v>
      </c>
      <c r="Y77" s="19" t="s">
        <v>730</v>
      </c>
      <c r="Z77" s="19">
        <v>0</v>
      </c>
      <c r="AA77" s="19">
        <v>0</v>
      </c>
      <c r="AB77" s="19">
        <v>0</v>
      </c>
      <c r="AC77" s="186" t="str">
        <f>IF(OR(M77="13",M77="14",P77=8),"",IF(     AND(OR(S77="AUTORIZADO", S77="PENDIENTE", S77="REDUCIDO", S77="AMPLIADO"),L77&lt;&gt;"HONORARIO" ), _xlfn.CONCAT(IF(H77="X","H",H77),"_",IF(OR(P77=5,P77=6),_xlfn.CONCAT(P77,"A"),P77),"_",VLOOKUP(T77,Datos!$B$2:$C$5,2,TRUE)),""))</f>
        <v>M_1_[hasta 3]</v>
      </c>
      <c r="AD77" s="186">
        <f t="shared" si="37"/>
        <v>0</v>
      </c>
      <c r="AE77" s="90" t="str">
        <f t="shared" si="38"/>
        <v>-</v>
      </c>
      <c r="AF77" s="91" t="str">
        <f t="shared" si="39"/>
        <v>071901</v>
      </c>
      <c r="AG77" s="92"/>
      <c r="AH77" s="93" t="str">
        <f t="shared" si="40"/>
        <v>Comité Innova Chile</v>
      </c>
      <c r="AI77" s="90" t="str">
        <f t="shared" si="41"/>
        <v>-</v>
      </c>
      <c r="AJ77" s="90">
        <f t="shared" si="42"/>
        <v>3</v>
      </c>
      <c r="AK77" s="90" t="str">
        <f t="shared" si="43"/>
        <v>-</v>
      </c>
      <c r="AL77" s="90" t="str">
        <f t="shared" si="44"/>
        <v>Identifica este registro como MUJER</v>
      </c>
      <c r="AM77" s="90" t="str">
        <f t="shared" si="45"/>
        <v>-</v>
      </c>
      <c r="AN77" s="90" t="str">
        <f t="shared" si="46"/>
        <v>-</v>
      </c>
      <c r="AO77" s="90" t="str">
        <f t="shared" si="47"/>
        <v>-</v>
      </c>
      <c r="AP77" s="58" t="str">
        <f t="shared" si="48"/>
        <v>-</v>
      </c>
      <c r="AQ77" s="94" t="str">
        <f t="shared" si="49"/>
        <v>-</v>
      </c>
      <c r="AR77" s="94" t="str">
        <f>IF(N77="","PRIMER_DIA en blanco",
IF(AND(M77="01",N77&gt;=L_Conversion!$C$118,N77&lt;=L_Conversion!$D$118),"-",
IF(AND(M77="02",N77&gt;=L_Conversion!$C$119,N77&lt;=L_Conversion!$D$119),"-",
IF(AND(M77="03",N77&gt;=L_Conversion!$C$120,N77&lt;=L_Conversion!$D$120),"-",
IF(AND(M77="04",N77&gt;=L_Conversion!$C$121,N77&lt;=L_Conversion!$D$121),"-",
IF(AND(M77="05",N77&gt;=L_Conversion!$C$122,N77&lt;=L_Conversion!$D$122),"-",
IF(AND(M77="06",N77&gt;=L_Conversion!$C$123,N77&lt;=L_Conversion!$D$123),"-",
IF(AND(M77="07",N77&gt;=L_Conversion!$C$124,N77&lt;=L_Conversion!$D$124),"-",
IF(AND(M77="08",N77&gt;=L_Conversion!$C$125,N77&lt;=L_Conversion!$D$125),"-",
IF(AND(M77="09",N77&gt;=L_Conversion!$C$126,N77&lt;=L_Conversion!$D$126),"-",
IF(AND(M77="10",N77&gt;=L_Conversion!$C$127,N77&lt;=L_Conversion!$D$127),"-",
IF(AND(M77="11",N77&gt;=L_Conversion!$C$128,N77&lt;=L_Conversion!$D$128),"-",
IF(AND(M77="12",N77&gt;=L_Conversion!$C$129,N77&lt;=L_Conversion!$D$129),"-",
IF(AND(M77="13",N77&gt;=L_Conversion!$C$116,N77&lt;=L_Conversion!$D$116),"-",
IF(AND(M77="14",N77&gt;=L_Conversion!$C$117,N77&lt;=L_Conversion!$D$117),"-",
"PRIMER_DIA fuera de rango")))))))))))))))</f>
        <v>-</v>
      </c>
      <c r="AS77" s="94" t="str">
        <f t="shared" si="50"/>
        <v>-</v>
      </c>
      <c r="AT77" s="94" t="str">
        <f t="shared" si="51"/>
        <v>-</v>
      </c>
      <c r="AU77" s="94" t="str">
        <f t="shared" si="52"/>
        <v>-</v>
      </c>
      <c r="AV77" s="94" t="str">
        <f t="shared" si="53"/>
        <v>-</v>
      </c>
      <c r="AW77" s="94" t="str">
        <f t="shared" si="54"/>
        <v>-</v>
      </c>
      <c r="AX77" s="94" t="str">
        <f t="shared" si="55"/>
        <v>-</v>
      </c>
      <c r="AY77" s="94" t="str">
        <f t="shared" si="56"/>
        <v>-</v>
      </c>
      <c r="AZ77" s="94" t="str">
        <f t="shared" si="57"/>
        <v>-</v>
      </c>
      <c r="BA77" s="94" t="str">
        <f t="shared" si="58"/>
        <v>-</v>
      </c>
      <c r="BB77" s="94" t="str">
        <f t="shared" si="59"/>
        <v>-</v>
      </c>
      <c r="BC77" s="94" t="str">
        <f t="shared" si="60"/>
        <v>-</v>
      </c>
      <c r="BD77" s="94" t="str">
        <f t="shared" si="61"/>
        <v>-</v>
      </c>
      <c r="BE77" s="94" t="str">
        <f t="shared" si="62"/>
        <v>-</v>
      </c>
      <c r="BF77" s="94" t="str">
        <f t="shared" si="63"/>
        <v>-</v>
      </c>
      <c r="BG77" s="186" t="str">
        <f>IF(OR(AQ77="13",AQ77="14",AT77=8),"",IF(     AND(OR(AW77="AUTORIZADO", AW77="PENDIENTE", AW77="REDUCIDO", AW77="AMPLIADO"),AP77&lt;&gt;"HONORARIO" ), _xlfn.CONCAT(IF(AL77="X","H",AL77),"_",IF(OR(AT77=5,AT77=6),_xlfn.CONCAT(AT77,"A"),AT77),"_",VLOOKUP(AX77,Datos!$B$2:$C$5,2,TRUE)),""))</f>
        <v/>
      </c>
    </row>
    <row r="78" spans="1:59" x14ac:dyDescent="0.2">
      <c r="A78" s="19" t="s">
        <v>1193</v>
      </c>
      <c r="B78" s="19" t="s">
        <v>81</v>
      </c>
      <c r="C78" s="19">
        <v>16939015</v>
      </c>
      <c r="D78" s="19">
        <v>0</v>
      </c>
      <c r="E78" s="19" t="s">
        <v>1299</v>
      </c>
      <c r="F78" s="19" t="s">
        <v>1300</v>
      </c>
      <c r="G78" s="19" t="s">
        <v>1301</v>
      </c>
      <c r="H78" s="19" t="s">
        <v>654</v>
      </c>
      <c r="I78" s="19" t="s">
        <v>653</v>
      </c>
      <c r="J78" s="19">
        <v>80</v>
      </c>
      <c r="K78" s="19" t="s">
        <v>556</v>
      </c>
      <c r="L78" s="19" t="s">
        <v>495</v>
      </c>
      <c r="M78" s="19" t="s">
        <v>269</v>
      </c>
      <c r="N78" s="19">
        <v>45960</v>
      </c>
      <c r="O78" s="19">
        <v>21</v>
      </c>
      <c r="P78" s="83">
        <v>1</v>
      </c>
      <c r="Q78" s="19" t="s">
        <v>23</v>
      </c>
      <c r="R78" s="19" t="s">
        <v>11</v>
      </c>
      <c r="S78" s="19" t="s">
        <v>23</v>
      </c>
      <c r="T78" s="19">
        <v>21</v>
      </c>
      <c r="U78" s="19" t="s">
        <v>11</v>
      </c>
      <c r="V78" s="19" t="s">
        <v>11</v>
      </c>
      <c r="W78" s="19" t="s">
        <v>11</v>
      </c>
      <c r="X78" s="19">
        <v>0</v>
      </c>
      <c r="Y78" s="19" t="s">
        <v>730</v>
      </c>
      <c r="Z78" s="19">
        <v>0</v>
      </c>
      <c r="AA78" s="19">
        <v>0</v>
      </c>
      <c r="AB78" s="19">
        <v>0</v>
      </c>
      <c r="AC78" s="186" t="str">
        <f>IF(OR(M78="13",M78="14",P78=8),"",IF(     AND(OR(S78="AUTORIZADO", S78="PENDIENTE", S78="REDUCIDO", S78="AMPLIADO"),L78&lt;&gt;"HONORARIO" ), _xlfn.CONCAT(IF(H78="X","H",H78),"_",IF(OR(P78=5,P78=6),_xlfn.CONCAT(P78,"A"),P78),"_",VLOOKUP(T78,Datos!$B$2:$C$5,2,TRUE)),""))</f>
        <v>H_1_[11 +]</v>
      </c>
      <c r="AD78" s="186">
        <f t="shared" si="37"/>
        <v>0</v>
      </c>
      <c r="AE78" s="90" t="str">
        <f t="shared" si="38"/>
        <v>-</v>
      </c>
      <c r="AF78" s="91" t="str">
        <f t="shared" si="39"/>
        <v>071901</v>
      </c>
      <c r="AG78" s="92"/>
      <c r="AH78" s="93" t="str">
        <f t="shared" si="40"/>
        <v>Comité Innova Chile</v>
      </c>
      <c r="AI78" s="90" t="str">
        <f t="shared" si="41"/>
        <v>-</v>
      </c>
      <c r="AJ78" s="90">
        <f t="shared" si="42"/>
        <v>0</v>
      </c>
      <c r="AK78" s="90" t="str">
        <f t="shared" si="43"/>
        <v>-</v>
      </c>
      <c r="AL78" s="90" t="str">
        <f t="shared" si="44"/>
        <v>Identifica este registro como HOMBRE</v>
      </c>
      <c r="AM78" s="90" t="str">
        <f t="shared" si="45"/>
        <v>-</v>
      </c>
      <c r="AN78" s="90" t="str">
        <f t="shared" si="46"/>
        <v>-</v>
      </c>
      <c r="AO78" s="90" t="str">
        <f t="shared" si="47"/>
        <v>-</v>
      </c>
      <c r="AP78" s="58" t="str">
        <f t="shared" si="48"/>
        <v>-</v>
      </c>
      <c r="AQ78" s="94" t="str">
        <f t="shared" si="49"/>
        <v>-</v>
      </c>
      <c r="AR78" s="94" t="str">
        <f>IF(N78="","PRIMER_DIA en blanco",
IF(AND(M78="01",N78&gt;=L_Conversion!$C$118,N78&lt;=L_Conversion!$D$118),"-",
IF(AND(M78="02",N78&gt;=L_Conversion!$C$119,N78&lt;=L_Conversion!$D$119),"-",
IF(AND(M78="03",N78&gt;=L_Conversion!$C$120,N78&lt;=L_Conversion!$D$120),"-",
IF(AND(M78="04",N78&gt;=L_Conversion!$C$121,N78&lt;=L_Conversion!$D$121),"-",
IF(AND(M78="05",N78&gt;=L_Conversion!$C$122,N78&lt;=L_Conversion!$D$122),"-",
IF(AND(M78="06",N78&gt;=L_Conversion!$C$123,N78&lt;=L_Conversion!$D$123),"-",
IF(AND(M78="07",N78&gt;=L_Conversion!$C$124,N78&lt;=L_Conversion!$D$124),"-",
IF(AND(M78="08",N78&gt;=L_Conversion!$C$125,N78&lt;=L_Conversion!$D$125),"-",
IF(AND(M78="09",N78&gt;=L_Conversion!$C$126,N78&lt;=L_Conversion!$D$126),"-",
IF(AND(M78="10",N78&gt;=L_Conversion!$C$127,N78&lt;=L_Conversion!$D$127),"-",
IF(AND(M78="11",N78&gt;=L_Conversion!$C$128,N78&lt;=L_Conversion!$D$128),"-",
IF(AND(M78="12",N78&gt;=L_Conversion!$C$129,N78&lt;=L_Conversion!$D$129),"-",
IF(AND(M78="13",N78&gt;=L_Conversion!$C$116,N78&lt;=L_Conversion!$D$116),"-",
IF(AND(M78="14",N78&gt;=L_Conversion!$C$117,N78&lt;=L_Conversion!$D$117),"-",
"PRIMER_DIA fuera de rango")))))))))))))))</f>
        <v>-</v>
      </c>
      <c r="AS78" s="94" t="str">
        <f t="shared" si="50"/>
        <v>-</v>
      </c>
      <c r="AT78" s="94" t="str">
        <f t="shared" si="51"/>
        <v>-</v>
      </c>
      <c r="AU78" s="94" t="str">
        <f t="shared" si="52"/>
        <v>-</v>
      </c>
      <c r="AV78" s="94" t="str">
        <f t="shared" si="53"/>
        <v>-</v>
      </c>
      <c r="AW78" s="94" t="str">
        <f t="shared" si="54"/>
        <v>-</v>
      </c>
      <c r="AX78" s="94" t="str">
        <f t="shared" si="55"/>
        <v>-</v>
      </c>
      <c r="AY78" s="94" t="str">
        <f t="shared" si="56"/>
        <v>-</v>
      </c>
      <c r="AZ78" s="94" t="str">
        <f t="shared" si="57"/>
        <v>-</v>
      </c>
      <c r="BA78" s="94" t="str">
        <f t="shared" si="58"/>
        <v>-</v>
      </c>
      <c r="BB78" s="94" t="str">
        <f t="shared" si="59"/>
        <v>-</v>
      </c>
      <c r="BC78" s="94" t="str">
        <f t="shared" si="60"/>
        <v>-</v>
      </c>
      <c r="BD78" s="94" t="str">
        <f t="shared" si="61"/>
        <v>-</v>
      </c>
      <c r="BE78" s="94" t="str">
        <f t="shared" si="62"/>
        <v>-</v>
      </c>
      <c r="BF78" s="94" t="str">
        <f t="shared" si="63"/>
        <v>-</v>
      </c>
      <c r="BG78" s="186" t="str">
        <f>IF(OR(AQ78="13",AQ78="14",AT78=8),"",IF(     AND(OR(AW78="AUTORIZADO", AW78="PENDIENTE", AW78="REDUCIDO", AW78="AMPLIADO"),AP78&lt;&gt;"HONORARIO" ), _xlfn.CONCAT(IF(AL78="X","H",AL78),"_",IF(OR(AT78=5,AT78=6),_xlfn.CONCAT(AT78,"A"),AT78),"_",VLOOKUP(AX78,Datos!$B$2:$C$5,2,TRUE)),""))</f>
        <v/>
      </c>
    </row>
    <row r="79" spans="1:59" x14ac:dyDescent="0.2">
      <c r="A79" s="19" t="s">
        <v>1193</v>
      </c>
      <c r="B79" s="19" t="s">
        <v>81</v>
      </c>
      <c r="C79" s="19">
        <v>16410183</v>
      </c>
      <c r="D79" s="19">
        <v>5</v>
      </c>
      <c r="E79" s="19" t="s">
        <v>1250</v>
      </c>
      <c r="F79" s="19" t="s">
        <v>1250</v>
      </c>
      <c r="G79" s="19" t="s">
        <v>1251</v>
      </c>
      <c r="H79" s="19" t="s">
        <v>1018</v>
      </c>
      <c r="I79" s="19" t="s">
        <v>653</v>
      </c>
      <c r="J79" s="19">
        <v>80</v>
      </c>
      <c r="K79" s="19" t="s">
        <v>556</v>
      </c>
      <c r="L79" s="19" t="s">
        <v>495</v>
      </c>
      <c r="M79" s="19" t="s">
        <v>271</v>
      </c>
      <c r="N79" s="19">
        <v>45964</v>
      </c>
      <c r="O79" s="19">
        <v>30</v>
      </c>
      <c r="P79" s="83">
        <v>1</v>
      </c>
      <c r="Q79" s="19" t="s">
        <v>23</v>
      </c>
      <c r="R79" s="19" t="s">
        <v>11</v>
      </c>
      <c r="S79" s="19" t="s">
        <v>23</v>
      </c>
      <c r="T79" s="19">
        <v>30</v>
      </c>
      <c r="U79" s="19" t="s">
        <v>11</v>
      </c>
      <c r="V79" s="19" t="s">
        <v>11</v>
      </c>
      <c r="W79" s="19" t="s">
        <v>11</v>
      </c>
      <c r="X79" s="19">
        <v>0</v>
      </c>
      <c r="Y79" s="19" t="s">
        <v>730</v>
      </c>
      <c r="Z79" s="19">
        <v>0</v>
      </c>
      <c r="AA79" s="19">
        <v>0</v>
      </c>
      <c r="AB79" s="19">
        <v>0</v>
      </c>
      <c r="AC79" s="186" t="str">
        <f>IF(OR(M79="13",M79="14",P79=8),"",IF(     AND(OR(S79="AUTORIZADO", S79="PENDIENTE", S79="REDUCIDO", S79="AMPLIADO"),L79&lt;&gt;"HONORARIO" ), _xlfn.CONCAT(IF(H79="X","H",H79),"_",IF(OR(P79=5,P79=6),_xlfn.CONCAT(P79,"A"),P79),"_",VLOOKUP(T79,Datos!$B$2:$C$5,2,TRUE)),""))</f>
        <v>M_1_[11 +]</v>
      </c>
      <c r="AD79" s="186">
        <f t="shared" si="37"/>
        <v>0</v>
      </c>
      <c r="AE79" s="90" t="str">
        <f t="shared" si="38"/>
        <v>-</v>
      </c>
      <c r="AF79" s="91" t="str">
        <f t="shared" si="39"/>
        <v>071901</v>
      </c>
      <c r="AG79" s="92"/>
      <c r="AH79" s="93" t="str">
        <f t="shared" si="40"/>
        <v>Comité Innova Chile</v>
      </c>
      <c r="AI79" s="90" t="str">
        <f t="shared" si="41"/>
        <v>-</v>
      </c>
      <c r="AJ79" s="90">
        <f t="shared" si="42"/>
        <v>5</v>
      </c>
      <c r="AK79" s="90" t="str">
        <f t="shared" si="43"/>
        <v>-</v>
      </c>
      <c r="AL79" s="90" t="str">
        <f t="shared" si="44"/>
        <v>Identifica este registro como MUJER</v>
      </c>
      <c r="AM79" s="90" t="str">
        <f t="shared" si="45"/>
        <v>-</v>
      </c>
      <c r="AN79" s="90" t="str">
        <f t="shared" si="46"/>
        <v>-</v>
      </c>
      <c r="AO79" s="90" t="str">
        <f t="shared" si="47"/>
        <v>-</v>
      </c>
      <c r="AP79" s="58" t="str">
        <f t="shared" si="48"/>
        <v>-</v>
      </c>
      <c r="AQ79" s="94" t="str">
        <f t="shared" si="49"/>
        <v>-</v>
      </c>
      <c r="AR79" s="94" t="str">
        <f>IF(N79="","PRIMER_DIA en blanco",
IF(AND(M79="01",N79&gt;=L_Conversion!$C$118,N79&lt;=L_Conversion!$D$118),"-",
IF(AND(M79="02",N79&gt;=L_Conversion!$C$119,N79&lt;=L_Conversion!$D$119),"-",
IF(AND(M79="03",N79&gt;=L_Conversion!$C$120,N79&lt;=L_Conversion!$D$120),"-",
IF(AND(M79="04",N79&gt;=L_Conversion!$C$121,N79&lt;=L_Conversion!$D$121),"-",
IF(AND(M79="05",N79&gt;=L_Conversion!$C$122,N79&lt;=L_Conversion!$D$122),"-",
IF(AND(M79="06",N79&gt;=L_Conversion!$C$123,N79&lt;=L_Conversion!$D$123),"-",
IF(AND(M79="07",N79&gt;=L_Conversion!$C$124,N79&lt;=L_Conversion!$D$124),"-",
IF(AND(M79="08",N79&gt;=L_Conversion!$C$125,N79&lt;=L_Conversion!$D$125),"-",
IF(AND(M79="09",N79&gt;=L_Conversion!$C$126,N79&lt;=L_Conversion!$D$126),"-",
IF(AND(M79="10",N79&gt;=L_Conversion!$C$127,N79&lt;=L_Conversion!$D$127),"-",
IF(AND(M79="11",N79&gt;=L_Conversion!$C$128,N79&lt;=L_Conversion!$D$128),"-",
IF(AND(M79="12",N79&gt;=L_Conversion!$C$129,N79&lt;=L_Conversion!$D$129),"-",
IF(AND(M79="13",N79&gt;=L_Conversion!$C$116,N79&lt;=L_Conversion!$D$116),"-",
IF(AND(M79="14",N79&gt;=L_Conversion!$C$117,N79&lt;=L_Conversion!$D$117),"-",
"PRIMER_DIA fuera de rango")))))))))))))))</f>
        <v>-</v>
      </c>
      <c r="AS79" s="94" t="str">
        <f t="shared" si="50"/>
        <v>-</v>
      </c>
      <c r="AT79" s="94" t="str">
        <f t="shared" si="51"/>
        <v>-</v>
      </c>
      <c r="AU79" s="94" t="str">
        <f t="shared" si="52"/>
        <v>-</v>
      </c>
      <c r="AV79" s="94" t="str">
        <f t="shared" si="53"/>
        <v>-</v>
      </c>
      <c r="AW79" s="94" t="str">
        <f t="shared" si="54"/>
        <v>-</v>
      </c>
      <c r="AX79" s="94" t="str">
        <f t="shared" si="55"/>
        <v>-</v>
      </c>
      <c r="AY79" s="94" t="str">
        <f t="shared" si="56"/>
        <v>-</v>
      </c>
      <c r="AZ79" s="94" t="str">
        <f t="shared" si="57"/>
        <v>-</v>
      </c>
      <c r="BA79" s="94" t="str">
        <f t="shared" si="58"/>
        <v>-</v>
      </c>
      <c r="BB79" s="94" t="str">
        <f t="shared" si="59"/>
        <v>-</v>
      </c>
      <c r="BC79" s="94" t="str">
        <f t="shared" si="60"/>
        <v>-</v>
      </c>
      <c r="BD79" s="94" t="str">
        <f t="shared" si="61"/>
        <v>-</v>
      </c>
      <c r="BE79" s="94" t="str">
        <f t="shared" si="62"/>
        <v>-</v>
      </c>
      <c r="BF79" s="94" t="str">
        <f t="shared" si="63"/>
        <v>-</v>
      </c>
      <c r="BG79" s="186" t="str">
        <f>IF(OR(AQ79="13",AQ79="14",AT79=8),"",IF(     AND(OR(AW79="AUTORIZADO", AW79="PENDIENTE", AW79="REDUCIDO", AW79="AMPLIADO"),AP79&lt;&gt;"HONORARIO" ), _xlfn.CONCAT(IF(AL79="X","H",AL79),"_",IF(OR(AT79=5,AT79=6),_xlfn.CONCAT(AT79,"A"),AT79),"_",VLOOKUP(AX79,Datos!$B$2:$C$5,2,TRUE)),""))</f>
        <v/>
      </c>
    </row>
    <row r="80" spans="1:59" x14ac:dyDescent="0.2">
      <c r="A80" s="19" t="s">
        <v>1193</v>
      </c>
      <c r="B80" s="19" t="s">
        <v>81</v>
      </c>
      <c r="C80" s="19">
        <v>5667514</v>
      </c>
      <c r="D80" s="19">
        <v>0</v>
      </c>
      <c r="E80" s="19" t="s">
        <v>1243</v>
      </c>
      <c r="F80" s="19" t="s">
        <v>1244</v>
      </c>
      <c r="G80" s="19" t="s">
        <v>1245</v>
      </c>
      <c r="H80" s="19" t="s">
        <v>1018</v>
      </c>
      <c r="I80" s="19" t="s">
        <v>653</v>
      </c>
      <c r="J80" s="19">
        <v>80</v>
      </c>
      <c r="K80" s="19" t="s">
        <v>560</v>
      </c>
      <c r="L80" s="19" t="s">
        <v>495</v>
      </c>
      <c r="M80" s="19" t="s">
        <v>271</v>
      </c>
      <c r="N80" s="19">
        <v>45971</v>
      </c>
      <c r="O80" s="19">
        <v>3</v>
      </c>
      <c r="P80" s="83">
        <v>1</v>
      </c>
      <c r="Q80" s="19" t="s">
        <v>23</v>
      </c>
      <c r="R80" s="19" t="s">
        <v>11</v>
      </c>
      <c r="S80" s="19" t="s">
        <v>23</v>
      </c>
      <c r="T80" s="19">
        <v>3</v>
      </c>
      <c r="U80" s="19" t="s">
        <v>11</v>
      </c>
      <c r="V80" s="19" t="s">
        <v>11</v>
      </c>
      <c r="W80" s="19" t="s">
        <v>11</v>
      </c>
      <c r="X80" s="19">
        <v>0</v>
      </c>
      <c r="Y80" s="19" t="s">
        <v>730</v>
      </c>
      <c r="Z80" s="19">
        <v>0</v>
      </c>
      <c r="AA80" s="19">
        <v>0</v>
      </c>
      <c r="AB80" s="19">
        <v>0</v>
      </c>
      <c r="AC80" s="186" t="str">
        <f>IF(OR(M80="13",M80="14",P80=8),"",IF(     AND(OR(S80="AUTORIZADO", S80="PENDIENTE", S80="REDUCIDO", S80="AMPLIADO"),L80&lt;&gt;"HONORARIO" ), _xlfn.CONCAT(IF(H80="X","H",H80),"_",IF(OR(P80=5,P80=6),_xlfn.CONCAT(P80,"A"),P80),"_",VLOOKUP(T80,Datos!$B$2:$C$5,2,TRUE)),""))</f>
        <v>M_1_[hasta 3]</v>
      </c>
      <c r="AD80" s="186">
        <f t="shared" si="37"/>
        <v>0</v>
      </c>
      <c r="AE80" s="90" t="str">
        <f t="shared" si="38"/>
        <v>-</v>
      </c>
      <c r="AF80" s="91" t="str">
        <f t="shared" si="39"/>
        <v>071901</v>
      </c>
      <c r="AG80" s="92"/>
      <c r="AH80" s="93" t="str">
        <f t="shared" si="40"/>
        <v>Comité Innova Chile</v>
      </c>
      <c r="AI80" s="90" t="str">
        <f t="shared" si="41"/>
        <v>-</v>
      </c>
      <c r="AJ80" s="90">
        <f t="shared" si="42"/>
        <v>0</v>
      </c>
      <c r="AK80" s="90" t="str">
        <f t="shared" si="43"/>
        <v>-</v>
      </c>
      <c r="AL80" s="90" t="str">
        <f t="shared" si="44"/>
        <v>Identifica este registro como MUJER</v>
      </c>
      <c r="AM80" s="90" t="str">
        <f t="shared" si="45"/>
        <v>-</v>
      </c>
      <c r="AN80" s="90" t="str">
        <f t="shared" si="46"/>
        <v>-</v>
      </c>
      <c r="AO80" s="90" t="str">
        <f t="shared" si="47"/>
        <v>-</v>
      </c>
      <c r="AP80" s="58" t="str">
        <f t="shared" si="48"/>
        <v>-</v>
      </c>
      <c r="AQ80" s="94" t="str">
        <f t="shared" si="49"/>
        <v>-</v>
      </c>
      <c r="AR80" s="94" t="str">
        <f>IF(N80="","PRIMER_DIA en blanco",
IF(AND(M80="01",N80&gt;=L_Conversion!$C$118,N80&lt;=L_Conversion!$D$118),"-",
IF(AND(M80="02",N80&gt;=L_Conversion!$C$119,N80&lt;=L_Conversion!$D$119),"-",
IF(AND(M80="03",N80&gt;=L_Conversion!$C$120,N80&lt;=L_Conversion!$D$120),"-",
IF(AND(M80="04",N80&gt;=L_Conversion!$C$121,N80&lt;=L_Conversion!$D$121),"-",
IF(AND(M80="05",N80&gt;=L_Conversion!$C$122,N80&lt;=L_Conversion!$D$122),"-",
IF(AND(M80="06",N80&gt;=L_Conversion!$C$123,N80&lt;=L_Conversion!$D$123),"-",
IF(AND(M80="07",N80&gt;=L_Conversion!$C$124,N80&lt;=L_Conversion!$D$124),"-",
IF(AND(M80="08",N80&gt;=L_Conversion!$C$125,N80&lt;=L_Conversion!$D$125),"-",
IF(AND(M80="09",N80&gt;=L_Conversion!$C$126,N80&lt;=L_Conversion!$D$126),"-",
IF(AND(M80="10",N80&gt;=L_Conversion!$C$127,N80&lt;=L_Conversion!$D$127),"-",
IF(AND(M80="11",N80&gt;=L_Conversion!$C$128,N80&lt;=L_Conversion!$D$128),"-",
IF(AND(M80="12",N80&gt;=L_Conversion!$C$129,N80&lt;=L_Conversion!$D$129),"-",
IF(AND(M80="13",N80&gt;=L_Conversion!$C$116,N80&lt;=L_Conversion!$D$116),"-",
IF(AND(M80="14",N80&gt;=L_Conversion!$C$117,N80&lt;=L_Conversion!$D$117),"-",
"PRIMER_DIA fuera de rango")))))))))))))))</f>
        <v>-</v>
      </c>
      <c r="AS80" s="94" t="str">
        <f t="shared" si="50"/>
        <v>-</v>
      </c>
      <c r="AT80" s="94" t="str">
        <f t="shared" si="51"/>
        <v>-</v>
      </c>
      <c r="AU80" s="94" t="str">
        <f t="shared" si="52"/>
        <v>-</v>
      </c>
      <c r="AV80" s="94" t="str">
        <f t="shared" si="53"/>
        <v>-</v>
      </c>
      <c r="AW80" s="94" t="str">
        <f t="shared" si="54"/>
        <v>-</v>
      </c>
      <c r="AX80" s="94" t="str">
        <f t="shared" si="55"/>
        <v>-</v>
      </c>
      <c r="AY80" s="94" t="str">
        <f t="shared" si="56"/>
        <v>-</v>
      </c>
      <c r="AZ80" s="94" t="str">
        <f t="shared" si="57"/>
        <v>-</v>
      </c>
      <c r="BA80" s="94" t="str">
        <f t="shared" si="58"/>
        <v>-</v>
      </c>
      <c r="BB80" s="94" t="str">
        <f t="shared" si="59"/>
        <v>-</v>
      </c>
      <c r="BC80" s="94" t="str">
        <f t="shared" si="60"/>
        <v>-</v>
      </c>
      <c r="BD80" s="94" t="str">
        <f t="shared" si="61"/>
        <v>-</v>
      </c>
      <c r="BE80" s="94" t="str">
        <f t="shared" si="62"/>
        <v>-</v>
      </c>
      <c r="BF80" s="94" t="str">
        <f t="shared" si="63"/>
        <v>-</v>
      </c>
      <c r="BG80" s="186" t="str">
        <f>IF(OR(AQ80="13",AQ80="14",AT80=8),"",IF(     AND(OR(AW80="AUTORIZADO", AW80="PENDIENTE", AW80="REDUCIDO", AW80="AMPLIADO"),AP80&lt;&gt;"HONORARIO" ), _xlfn.CONCAT(IF(AL80="X","H",AL80),"_",IF(OR(AT80=5,AT80=6),_xlfn.CONCAT(AT80,"A"),AT80),"_",VLOOKUP(AX80,Datos!$B$2:$C$5,2,TRUE)),""))</f>
        <v/>
      </c>
    </row>
    <row r="81" spans="1:59" x14ac:dyDescent="0.2">
      <c r="A81" s="19" t="s">
        <v>1193</v>
      </c>
      <c r="B81" s="19" t="s">
        <v>81</v>
      </c>
      <c r="C81" s="19">
        <v>18799796</v>
      </c>
      <c r="D81" s="19">
        <v>8</v>
      </c>
      <c r="E81" s="19" t="s">
        <v>1223</v>
      </c>
      <c r="F81" s="19" t="s">
        <v>1224</v>
      </c>
      <c r="G81" s="19" t="s">
        <v>1225</v>
      </c>
      <c r="H81" s="19" t="s">
        <v>1018</v>
      </c>
      <c r="I81" s="19" t="s">
        <v>653</v>
      </c>
      <c r="J81" s="19">
        <v>80</v>
      </c>
      <c r="K81" s="19" t="s">
        <v>556</v>
      </c>
      <c r="L81" s="19" t="s">
        <v>495</v>
      </c>
      <c r="M81" s="19" t="s">
        <v>271</v>
      </c>
      <c r="N81" s="19">
        <v>45973</v>
      </c>
      <c r="O81" s="19">
        <v>3</v>
      </c>
      <c r="P81" s="83">
        <v>1</v>
      </c>
      <c r="Q81" s="19" t="s">
        <v>23</v>
      </c>
      <c r="R81" s="19" t="s">
        <v>11</v>
      </c>
      <c r="S81" s="19" t="s">
        <v>23</v>
      </c>
      <c r="T81" s="19">
        <v>3</v>
      </c>
      <c r="U81" s="19" t="s">
        <v>11</v>
      </c>
      <c r="V81" s="19" t="s">
        <v>11</v>
      </c>
      <c r="W81" s="19" t="s">
        <v>11</v>
      </c>
      <c r="X81" s="19">
        <v>0</v>
      </c>
      <c r="Y81" s="19" t="s">
        <v>730</v>
      </c>
      <c r="Z81" s="19">
        <v>0</v>
      </c>
      <c r="AA81" s="19">
        <v>0</v>
      </c>
      <c r="AB81" s="19">
        <v>0</v>
      </c>
      <c r="AC81" s="186" t="str">
        <f>IF(OR(M81="13",M81="14",P81=8),"",IF(     AND(OR(S81="AUTORIZADO", S81="PENDIENTE", S81="REDUCIDO", S81="AMPLIADO"),L81&lt;&gt;"HONORARIO" ), _xlfn.CONCAT(IF(H81="X","H",H81),"_",IF(OR(P81=5,P81=6),_xlfn.CONCAT(P81,"A"),P81),"_",VLOOKUP(T81,Datos!$B$2:$C$5,2,TRUE)),""))</f>
        <v>M_1_[hasta 3]</v>
      </c>
      <c r="AD81" s="186">
        <f t="shared" si="37"/>
        <v>0</v>
      </c>
      <c r="AE81" s="90" t="str">
        <f t="shared" si="38"/>
        <v>-</v>
      </c>
      <c r="AF81" s="91" t="str">
        <f t="shared" si="39"/>
        <v>071901</v>
      </c>
      <c r="AG81" s="92"/>
      <c r="AH81" s="93" t="str">
        <f t="shared" si="40"/>
        <v>Comité Innova Chile</v>
      </c>
      <c r="AI81" s="90" t="str">
        <f t="shared" si="41"/>
        <v>-</v>
      </c>
      <c r="AJ81" s="90">
        <f t="shared" si="42"/>
        <v>8</v>
      </c>
      <c r="AK81" s="90" t="str">
        <f t="shared" si="43"/>
        <v>-</v>
      </c>
      <c r="AL81" s="90" t="str">
        <f t="shared" si="44"/>
        <v>Identifica este registro como MUJER</v>
      </c>
      <c r="AM81" s="90" t="str">
        <f t="shared" si="45"/>
        <v>-</v>
      </c>
      <c r="AN81" s="90" t="str">
        <f t="shared" si="46"/>
        <v>-</v>
      </c>
      <c r="AO81" s="90" t="str">
        <f t="shared" si="47"/>
        <v>-</v>
      </c>
      <c r="AP81" s="58" t="str">
        <f t="shared" si="48"/>
        <v>-</v>
      </c>
      <c r="AQ81" s="94" t="str">
        <f t="shared" si="49"/>
        <v>-</v>
      </c>
      <c r="AR81" s="94" t="str">
        <f>IF(N81="","PRIMER_DIA en blanco",
IF(AND(M81="01",N81&gt;=L_Conversion!$C$118,N81&lt;=L_Conversion!$D$118),"-",
IF(AND(M81="02",N81&gt;=L_Conversion!$C$119,N81&lt;=L_Conversion!$D$119),"-",
IF(AND(M81="03",N81&gt;=L_Conversion!$C$120,N81&lt;=L_Conversion!$D$120),"-",
IF(AND(M81="04",N81&gt;=L_Conversion!$C$121,N81&lt;=L_Conversion!$D$121),"-",
IF(AND(M81="05",N81&gt;=L_Conversion!$C$122,N81&lt;=L_Conversion!$D$122),"-",
IF(AND(M81="06",N81&gt;=L_Conversion!$C$123,N81&lt;=L_Conversion!$D$123),"-",
IF(AND(M81="07",N81&gt;=L_Conversion!$C$124,N81&lt;=L_Conversion!$D$124),"-",
IF(AND(M81="08",N81&gt;=L_Conversion!$C$125,N81&lt;=L_Conversion!$D$125),"-",
IF(AND(M81="09",N81&gt;=L_Conversion!$C$126,N81&lt;=L_Conversion!$D$126),"-",
IF(AND(M81="10",N81&gt;=L_Conversion!$C$127,N81&lt;=L_Conversion!$D$127),"-",
IF(AND(M81="11",N81&gt;=L_Conversion!$C$128,N81&lt;=L_Conversion!$D$128),"-",
IF(AND(M81="12",N81&gt;=L_Conversion!$C$129,N81&lt;=L_Conversion!$D$129),"-",
IF(AND(M81="13",N81&gt;=L_Conversion!$C$116,N81&lt;=L_Conversion!$D$116),"-",
IF(AND(M81="14",N81&gt;=L_Conversion!$C$117,N81&lt;=L_Conversion!$D$117),"-",
"PRIMER_DIA fuera de rango")))))))))))))))</f>
        <v>-</v>
      </c>
      <c r="AS81" s="94" t="str">
        <f t="shared" si="50"/>
        <v>-</v>
      </c>
      <c r="AT81" s="94" t="str">
        <f t="shared" si="51"/>
        <v>-</v>
      </c>
      <c r="AU81" s="94" t="str">
        <f t="shared" si="52"/>
        <v>-</v>
      </c>
      <c r="AV81" s="94" t="str">
        <f t="shared" si="53"/>
        <v>-</v>
      </c>
      <c r="AW81" s="94" t="str">
        <f t="shared" si="54"/>
        <v>-</v>
      </c>
      <c r="AX81" s="94" t="str">
        <f t="shared" si="55"/>
        <v>-</v>
      </c>
      <c r="AY81" s="94" t="str">
        <f t="shared" si="56"/>
        <v>-</v>
      </c>
      <c r="AZ81" s="94" t="str">
        <f t="shared" si="57"/>
        <v>-</v>
      </c>
      <c r="BA81" s="94" t="str">
        <f t="shared" si="58"/>
        <v>-</v>
      </c>
      <c r="BB81" s="94" t="str">
        <f t="shared" si="59"/>
        <v>-</v>
      </c>
      <c r="BC81" s="94" t="str">
        <f t="shared" si="60"/>
        <v>-</v>
      </c>
      <c r="BD81" s="94" t="str">
        <f t="shared" si="61"/>
        <v>-</v>
      </c>
      <c r="BE81" s="94" t="str">
        <f t="shared" si="62"/>
        <v>-</v>
      </c>
      <c r="BF81" s="94" t="str">
        <f t="shared" si="63"/>
        <v>-</v>
      </c>
      <c r="BG81" s="186" t="str">
        <f>IF(OR(AQ81="13",AQ81="14",AT81=8),"",IF(     AND(OR(AW81="AUTORIZADO", AW81="PENDIENTE", AW81="REDUCIDO", AW81="AMPLIADO"),AP81&lt;&gt;"HONORARIO" ), _xlfn.CONCAT(IF(AL81="X","H",AL81),"_",IF(OR(AT81=5,AT81=6),_xlfn.CONCAT(AT81,"A"),AT81),"_",VLOOKUP(AX81,Datos!$B$2:$C$5,2,TRUE)),""))</f>
        <v/>
      </c>
    </row>
    <row r="82" spans="1:59" x14ac:dyDescent="0.2">
      <c r="A82" s="19" t="s">
        <v>1193</v>
      </c>
      <c r="B82" s="19" t="s">
        <v>81</v>
      </c>
      <c r="C82" s="19">
        <v>5667514</v>
      </c>
      <c r="D82" s="19">
        <v>0</v>
      </c>
      <c r="E82" s="19" t="s">
        <v>1243</v>
      </c>
      <c r="F82" s="19" t="s">
        <v>1244</v>
      </c>
      <c r="G82" s="19" t="s">
        <v>1245</v>
      </c>
      <c r="H82" s="19" t="s">
        <v>1018</v>
      </c>
      <c r="I82" s="19" t="s">
        <v>653</v>
      </c>
      <c r="J82" s="19">
        <v>80</v>
      </c>
      <c r="K82" s="19" t="s">
        <v>560</v>
      </c>
      <c r="L82" s="19" t="s">
        <v>495</v>
      </c>
      <c r="M82" s="19" t="s">
        <v>271</v>
      </c>
      <c r="N82" s="19">
        <v>45974</v>
      </c>
      <c r="O82" s="19">
        <v>5</v>
      </c>
      <c r="P82" s="83">
        <v>1</v>
      </c>
      <c r="Q82" s="19" t="s">
        <v>23</v>
      </c>
      <c r="R82" s="19" t="s">
        <v>11</v>
      </c>
      <c r="S82" s="19" t="s">
        <v>23</v>
      </c>
      <c r="T82" s="19">
        <v>5</v>
      </c>
      <c r="U82" s="19" t="s">
        <v>11</v>
      </c>
      <c r="V82" s="19" t="s">
        <v>11</v>
      </c>
      <c r="W82" s="19" t="s">
        <v>11</v>
      </c>
      <c r="X82" s="19">
        <v>0</v>
      </c>
      <c r="Y82" s="19" t="s">
        <v>730</v>
      </c>
      <c r="Z82" s="19">
        <v>0</v>
      </c>
      <c r="AA82" s="19">
        <v>0</v>
      </c>
      <c r="AB82" s="19">
        <v>0</v>
      </c>
      <c r="AC82" s="186" t="str">
        <f>IF(OR(M82="13",M82="14",P82=8),"",IF(     AND(OR(S82="AUTORIZADO", S82="PENDIENTE", S82="REDUCIDO", S82="AMPLIADO"),L82&lt;&gt;"HONORARIO" ), _xlfn.CONCAT(IF(H82="X","H",H82),"_",IF(OR(P82=5,P82=6),_xlfn.CONCAT(P82,"A"),P82),"_",VLOOKUP(T82,Datos!$B$2:$C$5,2,TRUE)),""))</f>
        <v>M_1_[4 a 10]</v>
      </c>
      <c r="AD82" s="186">
        <f t="shared" si="37"/>
        <v>0</v>
      </c>
      <c r="AE82" s="90" t="str">
        <f t="shared" si="38"/>
        <v>-</v>
      </c>
      <c r="AF82" s="91" t="str">
        <f t="shared" si="39"/>
        <v>071901</v>
      </c>
      <c r="AG82" s="92"/>
      <c r="AH82" s="93" t="str">
        <f t="shared" si="40"/>
        <v>Comité Innova Chile</v>
      </c>
      <c r="AI82" s="90" t="str">
        <f t="shared" si="41"/>
        <v>-</v>
      </c>
      <c r="AJ82" s="90">
        <f t="shared" si="42"/>
        <v>0</v>
      </c>
      <c r="AK82" s="90" t="str">
        <f t="shared" si="43"/>
        <v>-</v>
      </c>
      <c r="AL82" s="90" t="str">
        <f t="shared" si="44"/>
        <v>Identifica este registro como MUJER</v>
      </c>
      <c r="AM82" s="90" t="str">
        <f t="shared" si="45"/>
        <v>-</v>
      </c>
      <c r="AN82" s="90" t="str">
        <f t="shared" si="46"/>
        <v>-</v>
      </c>
      <c r="AO82" s="90" t="str">
        <f t="shared" si="47"/>
        <v>-</v>
      </c>
      <c r="AP82" s="58" t="str">
        <f t="shared" si="48"/>
        <v>-</v>
      </c>
      <c r="AQ82" s="94" t="str">
        <f t="shared" si="49"/>
        <v>-</v>
      </c>
      <c r="AR82" s="94" t="str">
        <f>IF(N82="","PRIMER_DIA en blanco",
IF(AND(M82="01",N82&gt;=L_Conversion!$C$118,N82&lt;=L_Conversion!$D$118),"-",
IF(AND(M82="02",N82&gt;=L_Conversion!$C$119,N82&lt;=L_Conversion!$D$119),"-",
IF(AND(M82="03",N82&gt;=L_Conversion!$C$120,N82&lt;=L_Conversion!$D$120),"-",
IF(AND(M82="04",N82&gt;=L_Conversion!$C$121,N82&lt;=L_Conversion!$D$121),"-",
IF(AND(M82="05",N82&gt;=L_Conversion!$C$122,N82&lt;=L_Conversion!$D$122),"-",
IF(AND(M82="06",N82&gt;=L_Conversion!$C$123,N82&lt;=L_Conversion!$D$123),"-",
IF(AND(M82="07",N82&gt;=L_Conversion!$C$124,N82&lt;=L_Conversion!$D$124),"-",
IF(AND(M82="08",N82&gt;=L_Conversion!$C$125,N82&lt;=L_Conversion!$D$125),"-",
IF(AND(M82="09",N82&gt;=L_Conversion!$C$126,N82&lt;=L_Conversion!$D$126),"-",
IF(AND(M82="10",N82&gt;=L_Conversion!$C$127,N82&lt;=L_Conversion!$D$127),"-",
IF(AND(M82="11",N82&gt;=L_Conversion!$C$128,N82&lt;=L_Conversion!$D$128),"-",
IF(AND(M82="12",N82&gt;=L_Conversion!$C$129,N82&lt;=L_Conversion!$D$129),"-",
IF(AND(M82="13",N82&gt;=L_Conversion!$C$116,N82&lt;=L_Conversion!$D$116),"-",
IF(AND(M82="14",N82&gt;=L_Conversion!$C$117,N82&lt;=L_Conversion!$D$117),"-",
"PRIMER_DIA fuera de rango")))))))))))))))</f>
        <v>-</v>
      </c>
      <c r="AS82" s="94" t="str">
        <f t="shared" si="50"/>
        <v>-</v>
      </c>
      <c r="AT82" s="94" t="str">
        <f t="shared" si="51"/>
        <v>-</v>
      </c>
      <c r="AU82" s="94" t="str">
        <f t="shared" si="52"/>
        <v>-</v>
      </c>
      <c r="AV82" s="94" t="str">
        <f t="shared" si="53"/>
        <v>-</v>
      </c>
      <c r="AW82" s="94" t="str">
        <f t="shared" si="54"/>
        <v>-</v>
      </c>
      <c r="AX82" s="94" t="str">
        <f t="shared" si="55"/>
        <v>-</v>
      </c>
      <c r="AY82" s="94" t="str">
        <f t="shared" si="56"/>
        <v>-</v>
      </c>
      <c r="AZ82" s="94" t="str">
        <f t="shared" si="57"/>
        <v>-</v>
      </c>
      <c r="BA82" s="94" t="str">
        <f t="shared" si="58"/>
        <v>-</v>
      </c>
      <c r="BB82" s="94" t="str">
        <f t="shared" si="59"/>
        <v>-</v>
      </c>
      <c r="BC82" s="94" t="str">
        <f t="shared" si="60"/>
        <v>-</v>
      </c>
      <c r="BD82" s="94" t="str">
        <f t="shared" si="61"/>
        <v>-</v>
      </c>
      <c r="BE82" s="94" t="str">
        <f t="shared" si="62"/>
        <v>-</v>
      </c>
      <c r="BF82" s="94" t="str">
        <f t="shared" si="63"/>
        <v>-</v>
      </c>
      <c r="BG82" s="186" t="str">
        <f>IF(OR(AQ82="13",AQ82="14",AT82=8),"",IF(     AND(OR(AW82="AUTORIZADO", AW82="PENDIENTE", AW82="REDUCIDO", AW82="AMPLIADO"),AP82&lt;&gt;"HONORARIO" ), _xlfn.CONCAT(IF(AL82="X","H",AL82),"_",IF(OR(AT82=5,AT82=6),_xlfn.CONCAT(AT82,"A"),AT82),"_",VLOOKUP(AX82,Datos!$B$2:$C$5,2,TRUE)),""))</f>
        <v/>
      </c>
    </row>
    <row r="83" spans="1:59" x14ac:dyDescent="0.2">
      <c r="A83" s="19" t="s">
        <v>1193</v>
      </c>
      <c r="B83" s="19" t="s">
        <v>81</v>
      </c>
      <c r="C83" s="19">
        <v>16410183</v>
      </c>
      <c r="D83" s="19">
        <v>5</v>
      </c>
      <c r="E83" s="19" t="s">
        <v>1250</v>
      </c>
      <c r="F83" s="19" t="s">
        <v>1250</v>
      </c>
      <c r="G83" s="19" t="s">
        <v>1251</v>
      </c>
      <c r="H83" s="19" t="s">
        <v>1018</v>
      </c>
      <c r="I83" s="19" t="s">
        <v>653</v>
      </c>
      <c r="J83" s="19">
        <v>80</v>
      </c>
      <c r="K83" s="19" t="s">
        <v>556</v>
      </c>
      <c r="L83" s="19" t="s">
        <v>495</v>
      </c>
      <c r="M83" s="19" t="s">
        <v>273</v>
      </c>
      <c r="N83" s="19">
        <v>45994</v>
      </c>
      <c r="O83" s="19">
        <v>30</v>
      </c>
      <c r="P83" s="83">
        <v>1</v>
      </c>
      <c r="Q83" s="19" t="s">
        <v>23</v>
      </c>
      <c r="R83" s="19" t="s">
        <v>11</v>
      </c>
      <c r="S83" s="19" t="s">
        <v>23</v>
      </c>
      <c r="T83" s="19">
        <v>30</v>
      </c>
      <c r="U83" s="19" t="s">
        <v>11</v>
      </c>
      <c r="V83" s="19" t="s">
        <v>11</v>
      </c>
      <c r="W83" s="19" t="s">
        <v>11</v>
      </c>
      <c r="X83" s="19">
        <v>0</v>
      </c>
      <c r="Y83" s="19" t="s">
        <v>730</v>
      </c>
      <c r="Z83" s="19">
        <v>0</v>
      </c>
      <c r="AA83" s="19">
        <v>0</v>
      </c>
      <c r="AB83" s="19">
        <v>0</v>
      </c>
      <c r="AC83" s="186" t="str">
        <f>IF(OR(M83="13",M83="14",P83=8),"",IF(     AND(OR(S83="AUTORIZADO", S83="PENDIENTE", S83="REDUCIDO", S83="AMPLIADO"),L83&lt;&gt;"HONORARIO" ), _xlfn.CONCAT(IF(H83="X","H",H83),"_",IF(OR(P83=5,P83=6),_xlfn.CONCAT(P83,"A"),P83),"_",VLOOKUP(T83,Datos!$B$2:$C$5,2,TRUE)),""))</f>
        <v>M_1_[11 +]</v>
      </c>
      <c r="AD83" s="186">
        <f t="shared" si="37"/>
        <v>0</v>
      </c>
      <c r="AE83" s="90" t="str">
        <f t="shared" si="38"/>
        <v>-</v>
      </c>
      <c r="AF83" s="91" t="str">
        <f t="shared" si="39"/>
        <v>071901</v>
      </c>
      <c r="AG83" s="92"/>
      <c r="AH83" s="93" t="str">
        <f t="shared" si="40"/>
        <v>Comité Innova Chile</v>
      </c>
      <c r="AI83" s="90" t="str">
        <f t="shared" si="41"/>
        <v>-</v>
      </c>
      <c r="AJ83" s="90">
        <f t="shared" si="42"/>
        <v>5</v>
      </c>
      <c r="AK83" s="90" t="str">
        <f t="shared" si="43"/>
        <v>-</v>
      </c>
      <c r="AL83" s="90" t="str">
        <f t="shared" si="44"/>
        <v>Identifica este registro como MUJER</v>
      </c>
      <c r="AM83" s="90" t="str">
        <f t="shared" si="45"/>
        <v>-</v>
      </c>
      <c r="AN83" s="90" t="str">
        <f t="shared" si="46"/>
        <v>-</v>
      </c>
      <c r="AO83" s="90" t="str">
        <f t="shared" si="47"/>
        <v>-</v>
      </c>
      <c r="AP83" s="58" t="str">
        <f t="shared" si="48"/>
        <v>-</v>
      </c>
      <c r="AQ83" s="94" t="str">
        <f t="shared" si="49"/>
        <v>-</v>
      </c>
      <c r="AR83" s="94" t="str">
        <f>IF(N83="","PRIMER_DIA en blanco",
IF(AND(M83="01",N83&gt;=L_Conversion!$C$118,N83&lt;=L_Conversion!$D$118),"-",
IF(AND(M83="02",N83&gt;=L_Conversion!$C$119,N83&lt;=L_Conversion!$D$119),"-",
IF(AND(M83="03",N83&gt;=L_Conversion!$C$120,N83&lt;=L_Conversion!$D$120),"-",
IF(AND(M83="04",N83&gt;=L_Conversion!$C$121,N83&lt;=L_Conversion!$D$121),"-",
IF(AND(M83="05",N83&gt;=L_Conversion!$C$122,N83&lt;=L_Conversion!$D$122),"-",
IF(AND(M83="06",N83&gt;=L_Conversion!$C$123,N83&lt;=L_Conversion!$D$123),"-",
IF(AND(M83="07",N83&gt;=L_Conversion!$C$124,N83&lt;=L_Conversion!$D$124),"-",
IF(AND(M83="08",N83&gt;=L_Conversion!$C$125,N83&lt;=L_Conversion!$D$125),"-",
IF(AND(M83="09",N83&gt;=L_Conversion!$C$126,N83&lt;=L_Conversion!$D$126),"-",
IF(AND(M83="10",N83&gt;=L_Conversion!$C$127,N83&lt;=L_Conversion!$D$127),"-",
IF(AND(M83="11",N83&gt;=L_Conversion!$C$128,N83&lt;=L_Conversion!$D$128),"-",
IF(AND(M83="12",N83&gt;=L_Conversion!$C$129,N83&lt;=L_Conversion!$D$129),"-",
IF(AND(M83="13",N83&gt;=L_Conversion!$C$116,N83&lt;=L_Conversion!$D$116),"-",
IF(AND(M83="14",N83&gt;=L_Conversion!$C$117,N83&lt;=L_Conversion!$D$117),"-",
"PRIMER_DIA fuera de rango")))))))))))))))</f>
        <v>-</v>
      </c>
      <c r="AS83" s="94" t="str">
        <f t="shared" si="50"/>
        <v>-</v>
      </c>
      <c r="AT83" s="94" t="str">
        <f t="shared" si="51"/>
        <v>-</v>
      </c>
      <c r="AU83" s="94" t="str">
        <f t="shared" si="52"/>
        <v>-</v>
      </c>
      <c r="AV83" s="94" t="str">
        <f t="shared" si="53"/>
        <v>-</v>
      </c>
      <c r="AW83" s="94" t="str">
        <f t="shared" si="54"/>
        <v>-</v>
      </c>
      <c r="AX83" s="94" t="str">
        <f t="shared" si="55"/>
        <v>-</v>
      </c>
      <c r="AY83" s="94" t="str">
        <f t="shared" si="56"/>
        <v>-</v>
      </c>
      <c r="AZ83" s="94" t="str">
        <f t="shared" si="57"/>
        <v>-</v>
      </c>
      <c r="BA83" s="94" t="str">
        <f t="shared" si="58"/>
        <v>-</v>
      </c>
      <c r="BB83" s="94" t="str">
        <f t="shared" si="59"/>
        <v>-</v>
      </c>
      <c r="BC83" s="94" t="str">
        <f t="shared" si="60"/>
        <v>-</v>
      </c>
      <c r="BD83" s="94" t="str">
        <f t="shared" si="61"/>
        <v>-</v>
      </c>
      <c r="BE83" s="94" t="str">
        <f t="shared" si="62"/>
        <v>-</v>
      </c>
      <c r="BF83" s="94" t="str">
        <f t="shared" si="63"/>
        <v>-</v>
      </c>
      <c r="BG83" s="186" t="str">
        <f>IF(OR(AQ83="13",AQ83="14",AT83=8),"",IF(     AND(OR(AW83="AUTORIZADO", AW83="PENDIENTE", AW83="REDUCIDO", AW83="AMPLIADO"),AP83&lt;&gt;"HONORARIO" ), _xlfn.CONCAT(IF(AL83="X","H",AL83),"_",IF(OR(AT83=5,AT83=6),_xlfn.CONCAT(AT83,"A"),AT83),"_",VLOOKUP(AX83,Datos!$B$2:$C$5,2,TRUE)),""))</f>
        <v/>
      </c>
    </row>
    <row r="84" spans="1:59" x14ac:dyDescent="0.2">
      <c r="A84" s="19" t="s">
        <v>1193</v>
      </c>
      <c r="B84" s="19" t="s">
        <v>81</v>
      </c>
      <c r="C84" s="19">
        <v>5667514</v>
      </c>
      <c r="D84" s="19">
        <v>0</v>
      </c>
      <c r="E84" s="19" t="s">
        <v>1243</v>
      </c>
      <c r="F84" s="19" t="s">
        <v>1244</v>
      </c>
      <c r="G84" s="19" t="s">
        <v>1245</v>
      </c>
      <c r="H84" s="19" t="s">
        <v>1018</v>
      </c>
      <c r="I84" s="19" t="s">
        <v>653</v>
      </c>
      <c r="J84" s="19">
        <v>80</v>
      </c>
      <c r="K84" s="19" t="s">
        <v>560</v>
      </c>
      <c r="L84" s="19" t="s">
        <v>495</v>
      </c>
      <c r="M84" s="19" t="s">
        <v>273</v>
      </c>
      <c r="N84" s="19">
        <v>45995</v>
      </c>
      <c r="O84" s="19">
        <v>20</v>
      </c>
      <c r="P84" s="83">
        <v>1</v>
      </c>
      <c r="Q84" s="19" t="s">
        <v>23</v>
      </c>
      <c r="R84" s="19" t="s">
        <v>11</v>
      </c>
      <c r="S84" s="19" t="s">
        <v>23</v>
      </c>
      <c r="T84" s="19">
        <v>20</v>
      </c>
      <c r="U84" s="19" t="s">
        <v>11</v>
      </c>
      <c r="V84" s="19" t="s">
        <v>11</v>
      </c>
      <c r="W84" s="19" t="s">
        <v>11</v>
      </c>
      <c r="X84" s="19">
        <v>0</v>
      </c>
      <c r="Y84" s="19" t="s">
        <v>730</v>
      </c>
      <c r="Z84" s="19">
        <v>0</v>
      </c>
      <c r="AA84" s="19">
        <v>0</v>
      </c>
      <c r="AB84" s="19">
        <v>0</v>
      </c>
      <c r="AC84" s="186" t="str">
        <f>IF(OR(M84="13",M84="14",P84=8),"",IF(     AND(OR(S84="AUTORIZADO", S84="PENDIENTE", S84="REDUCIDO", S84="AMPLIADO"),L84&lt;&gt;"HONORARIO" ), _xlfn.CONCAT(IF(H84="X","H",H84),"_",IF(OR(P84=5,P84=6),_xlfn.CONCAT(P84,"A"),P84),"_",VLOOKUP(T84,Datos!$B$2:$C$5,2,TRUE)),""))</f>
        <v>M_1_[11 +]</v>
      </c>
      <c r="AD84" s="186">
        <f t="shared" si="37"/>
        <v>0</v>
      </c>
      <c r="AE84" s="90" t="str">
        <f t="shared" si="38"/>
        <v>-</v>
      </c>
      <c r="AF84" s="91" t="str">
        <f t="shared" si="39"/>
        <v>071901</v>
      </c>
      <c r="AG84" s="92"/>
      <c r="AH84" s="93" t="str">
        <f t="shared" si="40"/>
        <v>Comité Innova Chile</v>
      </c>
      <c r="AI84" s="90" t="str">
        <f t="shared" si="41"/>
        <v>-</v>
      </c>
      <c r="AJ84" s="90">
        <f t="shared" si="42"/>
        <v>0</v>
      </c>
      <c r="AK84" s="90" t="str">
        <f t="shared" si="43"/>
        <v>-</v>
      </c>
      <c r="AL84" s="90" t="str">
        <f t="shared" si="44"/>
        <v>Identifica este registro como MUJER</v>
      </c>
      <c r="AM84" s="90" t="str">
        <f t="shared" si="45"/>
        <v>-</v>
      </c>
      <c r="AN84" s="90" t="str">
        <f t="shared" si="46"/>
        <v>-</v>
      </c>
      <c r="AO84" s="90" t="str">
        <f t="shared" si="47"/>
        <v>-</v>
      </c>
      <c r="AP84" s="58" t="str">
        <f t="shared" si="48"/>
        <v>-</v>
      </c>
      <c r="AQ84" s="94" t="str">
        <f t="shared" si="49"/>
        <v>-</v>
      </c>
      <c r="AR84" s="94" t="str">
        <f>IF(N84="","PRIMER_DIA en blanco",
IF(AND(M84="01",N84&gt;=L_Conversion!$C$118,N84&lt;=L_Conversion!$D$118),"-",
IF(AND(M84="02",N84&gt;=L_Conversion!$C$119,N84&lt;=L_Conversion!$D$119),"-",
IF(AND(M84="03",N84&gt;=L_Conversion!$C$120,N84&lt;=L_Conversion!$D$120),"-",
IF(AND(M84="04",N84&gt;=L_Conversion!$C$121,N84&lt;=L_Conversion!$D$121),"-",
IF(AND(M84="05",N84&gt;=L_Conversion!$C$122,N84&lt;=L_Conversion!$D$122),"-",
IF(AND(M84="06",N84&gt;=L_Conversion!$C$123,N84&lt;=L_Conversion!$D$123),"-",
IF(AND(M84="07",N84&gt;=L_Conversion!$C$124,N84&lt;=L_Conversion!$D$124),"-",
IF(AND(M84="08",N84&gt;=L_Conversion!$C$125,N84&lt;=L_Conversion!$D$125),"-",
IF(AND(M84="09",N84&gt;=L_Conversion!$C$126,N84&lt;=L_Conversion!$D$126),"-",
IF(AND(M84="10",N84&gt;=L_Conversion!$C$127,N84&lt;=L_Conversion!$D$127),"-",
IF(AND(M84="11",N84&gt;=L_Conversion!$C$128,N84&lt;=L_Conversion!$D$128),"-",
IF(AND(M84="12",N84&gt;=L_Conversion!$C$129,N84&lt;=L_Conversion!$D$129),"-",
IF(AND(M84="13",N84&gt;=L_Conversion!$C$116,N84&lt;=L_Conversion!$D$116),"-",
IF(AND(M84="14",N84&gt;=L_Conversion!$C$117,N84&lt;=L_Conversion!$D$117),"-",
"PRIMER_DIA fuera de rango")))))))))))))))</f>
        <v>-</v>
      </c>
      <c r="AS84" s="94" t="str">
        <f t="shared" si="50"/>
        <v>-</v>
      </c>
      <c r="AT84" s="94" t="str">
        <f t="shared" si="51"/>
        <v>-</v>
      </c>
      <c r="AU84" s="94" t="str">
        <f t="shared" si="52"/>
        <v>-</v>
      </c>
      <c r="AV84" s="94" t="str">
        <f t="shared" si="53"/>
        <v>-</v>
      </c>
      <c r="AW84" s="94" t="str">
        <f t="shared" si="54"/>
        <v>-</v>
      </c>
      <c r="AX84" s="94" t="str">
        <f t="shared" si="55"/>
        <v>-</v>
      </c>
      <c r="AY84" s="94" t="str">
        <f t="shared" si="56"/>
        <v>-</v>
      </c>
      <c r="AZ84" s="94" t="str">
        <f t="shared" si="57"/>
        <v>-</v>
      </c>
      <c r="BA84" s="94" t="str">
        <f t="shared" si="58"/>
        <v>-</v>
      </c>
      <c r="BB84" s="94" t="str">
        <f t="shared" si="59"/>
        <v>-</v>
      </c>
      <c r="BC84" s="94" t="str">
        <f t="shared" si="60"/>
        <v>-</v>
      </c>
      <c r="BD84" s="94" t="str">
        <f t="shared" si="61"/>
        <v>-</v>
      </c>
      <c r="BE84" s="94" t="str">
        <f t="shared" si="62"/>
        <v>-</v>
      </c>
      <c r="BF84" s="94" t="str">
        <f t="shared" si="63"/>
        <v>-</v>
      </c>
      <c r="BG84" s="186" t="str">
        <f>IF(OR(AQ84="13",AQ84="14",AT84=8),"",IF(     AND(OR(AW84="AUTORIZADO", AW84="PENDIENTE", AW84="REDUCIDO", AW84="AMPLIADO"),AP84&lt;&gt;"HONORARIO" ), _xlfn.CONCAT(IF(AL84="X","H",AL84),"_",IF(OR(AT84=5,AT84=6),_xlfn.CONCAT(AT84,"A"),AT84),"_",VLOOKUP(AX84,Datos!$B$2:$C$5,2,TRUE)),""))</f>
        <v/>
      </c>
    </row>
    <row r="85" spans="1:59" x14ac:dyDescent="0.2">
      <c r="A85" s="19" t="s">
        <v>1193</v>
      </c>
      <c r="B85" s="19" t="s">
        <v>81</v>
      </c>
      <c r="C85" s="19">
        <v>5667514</v>
      </c>
      <c r="D85" s="19">
        <v>0</v>
      </c>
      <c r="E85" s="19" t="s">
        <v>1243</v>
      </c>
      <c r="F85" s="19" t="s">
        <v>1244</v>
      </c>
      <c r="G85" s="19" t="s">
        <v>1245</v>
      </c>
      <c r="H85" s="19" t="s">
        <v>1018</v>
      </c>
      <c r="I85" s="19" t="s">
        <v>653</v>
      </c>
      <c r="J85" s="19">
        <v>80</v>
      </c>
      <c r="K85" s="19" t="s">
        <v>560</v>
      </c>
      <c r="L85" s="19" t="s">
        <v>495</v>
      </c>
      <c r="M85" s="19" t="s">
        <v>273</v>
      </c>
      <c r="N85" s="19">
        <v>46015</v>
      </c>
      <c r="O85" s="19">
        <v>30</v>
      </c>
      <c r="P85" s="83">
        <v>1</v>
      </c>
      <c r="Q85" s="19" t="s">
        <v>23</v>
      </c>
      <c r="R85" s="19" t="s">
        <v>11</v>
      </c>
      <c r="S85" s="19" t="s">
        <v>23</v>
      </c>
      <c r="T85" s="19">
        <v>30</v>
      </c>
      <c r="U85" s="19" t="s">
        <v>11</v>
      </c>
      <c r="V85" s="19" t="s">
        <v>11</v>
      </c>
      <c r="W85" s="19" t="s">
        <v>11</v>
      </c>
      <c r="X85" s="19">
        <v>0</v>
      </c>
      <c r="Y85" s="19" t="s">
        <v>730</v>
      </c>
      <c r="Z85" s="19">
        <v>0</v>
      </c>
      <c r="AA85" s="19">
        <v>0</v>
      </c>
      <c r="AB85" s="19">
        <v>0</v>
      </c>
      <c r="AC85" s="186" t="str">
        <f>IF(OR(M85="13",M85="14",P85=8),"",IF(     AND(OR(S85="AUTORIZADO", S85="PENDIENTE", S85="REDUCIDO", S85="AMPLIADO"),L85&lt;&gt;"HONORARIO" ), _xlfn.CONCAT(IF(H85="X","H",H85),"_",IF(OR(P85=5,P85=6),_xlfn.CONCAT(P85,"A"),P85),"_",VLOOKUP(T85,Datos!$B$2:$C$5,2,TRUE)),""))</f>
        <v>M_1_[11 +]</v>
      </c>
      <c r="AD85" s="186">
        <f t="shared" si="37"/>
        <v>0</v>
      </c>
      <c r="AE85" s="90" t="str">
        <f t="shared" si="38"/>
        <v>-</v>
      </c>
      <c r="AF85" s="91" t="str">
        <f t="shared" si="39"/>
        <v>071901</v>
      </c>
      <c r="AG85" s="92"/>
      <c r="AH85" s="93" t="str">
        <f t="shared" si="40"/>
        <v>Comité Innova Chile</v>
      </c>
      <c r="AI85" s="90" t="str">
        <f t="shared" si="41"/>
        <v>-</v>
      </c>
      <c r="AJ85" s="90">
        <f t="shared" si="42"/>
        <v>0</v>
      </c>
      <c r="AK85" s="90" t="str">
        <f t="shared" si="43"/>
        <v>-</v>
      </c>
      <c r="AL85" s="90" t="str">
        <f t="shared" si="44"/>
        <v>Identifica este registro como MUJER</v>
      </c>
      <c r="AM85" s="90" t="str">
        <f t="shared" si="45"/>
        <v>-</v>
      </c>
      <c r="AN85" s="90" t="str">
        <f t="shared" si="46"/>
        <v>-</v>
      </c>
      <c r="AO85" s="90" t="str">
        <f t="shared" si="47"/>
        <v>-</v>
      </c>
      <c r="AP85" s="58" t="str">
        <f t="shared" si="48"/>
        <v>-</v>
      </c>
      <c r="AQ85" s="94" t="str">
        <f t="shared" si="49"/>
        <v>-</v>
      </c>
      <c r="AR85" s="94" t="str">
        <f>IF(N85="","PRIMER_DIA en blanco",
IF(AND(M85="01",N85&gt;=L_Conversion!$C$118,N85&lt;=L_Conversion!$D$118),"-",
IF(AND(M85="02",N85&gt;=L_Conversion!$C$119,N85&lt;=L_Conversion!$D$119),"-",
IF(AND(M85="03",N85&gt;=L_Conversion!$C$120,N85&lt;=L_Conversion!$D$120),"-",
IF(AND(M85="04",N85&gt;=L_Conversion!$C$121,N85&lt;=L_Conversion!$D$121),"-",
IF(AND(M85="05",N85&gt;=L_Conversion!$C$122,N85&lt;=L_Conversion!$D$122),"-",
IF(AND(M85="06",N85&gt;=L_Conversion!$C$123,N85&lt;=L_Conversion!$D$123),"-",
IF(AND(M85="07",N85&gt;=L_Conversion!$C$124,N85&lt;=L_Conversion!$D$124),"-",
IF(AND(M85="08",N85&gt;=L_Conversion!$C$125,N85&lt;=L_Conversion!$D$125),"-",
IF(AND(M85="09",N85&gt;=L_Conversion!$C$126,N85&lt;=L_Conversion!$D$126),"-",
IF(AND(M85="10",N85&gt;=L_Conversion!$C$127,N85&lt;=L_Conversion!$D$127),"-",
IF(AND(M85="11",N85&gt;=L_Conversion!$C$128,N85&lt;=L_Conversion!$D$128),"-",
IF(AND(M85="12",N85&gt;=L_Conversion!$C$129,N85&lt;=L_Conversion!$D$129),"-",
IF(AND(M85="13",N85&gt;=L_Conversion!$C$116,N85&lt;=L_Conversion!$D$116),"-",
IF(AND(M85="14",N85&gt;=L_Conversion!$C$117,N85&lt;=L_Conversion!$D$117),"-",
"PRIMER_DIA fuera de rango")))))))))))))))</f>
        <v>-</v>
      </c>
      <c r="AS85" s="94" t="str">
        <f t="shared" si="50"/>
        <v>-</v>
      </c>
      <c r="AT85" s="94" t="str">
        <f t="shared" si="51"/>
        <v>-</v>
      </c>
      <c r="AU85" s="94" t="str">
        <f t="shared" si="52"/>
        <v>-</v>
      </c>
      <c r="AV85" s="94" t="str">
        <f t="shared" si="53"/>
        <v>-</v>
      </c>
      <c r="AW85" s="94" t="str">
        <f t="shared" si="54"/>
        <v>-</v>
      </c>
      <c r="AX85" s="94" t="str">
        <f t="shared" si="55"/>
        <v>-</v>
      </c>
      <c r="AY85" s="94" t="str">
        <f t="shared" si="56"/>
        <v>-</v>
      </c>
      <c r="AZ85" s="94" t="str">
        <f t="shared" si="57"/>
        <v>-</v>
      </c>
      <c r="BA85" s="94" t="str">
        <f t="shared" si="58"/>
        <v>-</v>
      </c>
      <c r="BB85" s="94" t="str">
        <f t="shared" si="59"/>
        <v>-</v>
      </c>
      <c r="BC85" s="94" t="str">
        <f t="shared" si="60"/>
        <v>-</v>
      </c>
      <c r="BD85" s="94" t="str">
        <f t="shared" si="61"/>
        <v>-</v>
      </c>
      <c r="BE85" s="94" t="str">
        <f t="shared" si="62"/>
        <v>-</v>
      </c>
      <c r="BF85" s="94" t="str">
        <f t="shared" si="63"/>
        <v>-</v>
      </c>
      <c r="BG85" s="186" t="str">
        <f>IF(OR(AQ85="13",AQ85="14",AT85=8),"",IF(     AND(OR(AW85="AUTORIZADO", AW85="PENDIENTE", AW85="REDUCIDO", AW85="AMPLIADO"),AP85&lt;&gt;"HONORARIO" ), _xlfn.CONCAT(IF(AL85="X","H",AL85),"_",IF(OR(AT85=5,AT85=6),_xlfn.CONCAT(AT85,"A"),AT85),"_",VLOOKUP(AX85,Datos!$B$2:$C$5,2,TRUE)),""))</f>
        <v/>
      </c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2A9A8-90D8-4F36-B368-009817D24BA0}">
  <dimension ref="A1:N60"/>
  <sheetViews>
    <sheetView tabSelected="1" view="pageBreakPreview" topLeftCell="A26" zoomScale="85" zoomScaleNormal="90" zoomScaleSheetLayoutView="85" workbookViewId="0">
      <selection activeCell="G25" sqref="G25"/>
    </sheetView>
  </sheetViews>
  <sheetFormatPr baseColWidth="10" defaultRowHeight="15" x14ac:dyDescent="0.25"/>
  <cols>
    <col min="1" max="1" width="38.7109375" customWidth="1"/>
    <col min="2" max="4" width="13.85546875" customWidth="1"/>
    <col min="5" max="5" width="14.7109375" customWidth="1"/>
    <col min="6" max="8" width="13.85546875" customWidth="1"/>
    <col min="9" max="9" width="14.7109375" customWidth="1"/>
    <col min="10" max="12" width="13.85546875" customWidth="1"/>
    <col min="13" max="13" width="14.7109375" customWidth="1"/>
  </cols>
  <sheetData>
    <row r="1" spans="1:13" x14ac:dyDescent="0.25">
      <c r="A1" s="155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</row>
    <row r="2" spans="1:13" ht="18.75" x14ac:dyDescent="0.3">
      <c r="A2" s="213" t="str">
        <f>+_xlfn.CONCAT("1.-Número de días de licencia médica presentadas entre Enero y ",Datos!$D$197," de 2025,  según género del funcionario afecto, tipo y rango de duración de la licencia médica")</f>
        <v>1.-Número de días de licencia médica presentadas entre Enero y Diciembre de 2025,  según género del funcionario afecto, tipo y rango de duración de la licencia médica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</row>
    <row r="3" spans="1:13" ht="18.75" x14ac:dyDescent="0.3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</row>
    <row r="4" spans="1:13" x14ac:dyDescent="0.25">
      <c r="A4" s="214" t="s">
        <v>1112</v>
      </c>
      <c r="B4" s="215" t="s">
        <v>1113</v>
      </c>
      <c r="C4" s="216"/>
      <c r="D4" s="216"/>
      <c r="E4" s="216"/>
      <c r="F4" s="216"/>
      <c r="G4" s="216"/>
      <c r="H4" s="216"/>
      <c r="I4" s="217"/>
      <c r="J4" s="218" t="s">
        <v>1097</v>
      </c>
      <c r="K4" s="219"/>
      <c r="L4" s="219"/>
      <c r="M4" s="220"/>
    </row>
    <row r="5" spans="1:13" x14ac:dyDescent="0.25">
      <c r="A5" s="214"/>
      <c r="B5" s="224" t="s">
        <v>1114</v>
      </c>
      <c r="C5" s="225"/>
      <c r="D5" s="225"/>
      <c r="E5" s="226"/>
      <c r="F5" s="224" t="s">
        <v>1099</v>
      </c>
      <c r="G5" s="225"/>
      <c r="H5" s="225"/>
      <c r="I5" s="226"/>
      <c r="J5" s="221"/>
      <c r="K5" s="222"/>
      <c r="L5" s="222"/>
      <c r="M5" s="223"/>
    </row>
    <row r="6" spans="1:13" ht="60" x14ac:dyDescent="0.25">
      <c r="A6" s="214"/>
      <c r="B6" s="206" t="s">
        <v>1115</v>
      </c>
      <c r="C6" s="207" t="s">
        <v>1116</v>
      </c>
      <c r="D6" s="208" t="s">
        <v>1117</v>
      </c>
      <c r="E6" s="209" t="s">
        <v>725</v>
      </c>
      <c r="F6" s="206" t="s">
        <v>1115</v>
      </c>
      <c r="G6" s="207" t="s">
        <v>1116</v>
      </c>
      <c r="H6" s="208" t="s">
        <v>1117</v>
      </c>
      <c r="I6" s="209" t="s">
        <v>725</v>
      </c>
      <c r="J6" s="206" t="s">
        <v>1115</v>
      </c>
      <c r="K6" s="207" t="s">
        <v>1116</v>
      </c>
      <c r="L6" s="208" t="s">
        <v>1117</v>
      </c>
      <c r="M6" s="157" t="s">
        <v>725</v>
      </c>
    </row>
    <row r="7" spans="1:13" ht="15.75" x14ac:dyDescent="0.25">
      <c r="A7" s="159" t="s">
        <v>275</v>
      </c>
      <c r="B7" s="160">
        <f>Datos!D111+Datos!D112</f>
        <v>16</v>
      </c>
      <c r="C7" s="161">
        <f>Datos!E111+Datos!E112</f>
        <v>14</v>
      </c>
      <c r="D7" s="162">
        <f>Datos!F111+Datos!F112</f>
        <v>239</v>
      </c>
      <c r="E7" s="163">
        <f t="shared" ref="E7:E14" si="0">SUM(B7:D7)</f>
        <v>269</v>
      </c>
      <c r="F7" s="160">
        <f>Datos!H111+Datos!H112</f>
        <v>57</v>
      </c>
      <c r="G7" s="161">
        <f>Datos!I111+Datos!I112</f>
        <v>32</v>
      </c>
      <c r="H7" s="162">
        <f>Datos!J111+Datos!J112</f>
        <v>472</v>
      </c>
      <c r="I7" s="163">
        <f t="shared" ref="I7:I14" si="1">SUM(F7:H7)</f>
        <v>561</v>
      </c>
      <c r="J7" s="160">
        <f t="shared" ref="J7:L13" si="2">B7+F7</f>
        <v>73</v>
      </c>
      <c r="K7" s="161">
        <f t="shared" si="2"/>
        <v>46</v>
      </c>
      <c r="L7" s="162">
        <f t="shared" si="2"/>
        <v>711</v>
      </c>
      <c r="M7" s="163">
        <f t="shared" ref="M7:M14" si="3">+J7+K7+L7</f>
        <v>830</v>
      </c>
    </row>
    <row r="8" spans="1:13" ht="15.75" x14ac:dyDescent="0.25">
      <c r="A8" s="165" t="s">
        <v>1103</v>
      </c>
      <c r="B8" s="166">
        <f>Datos!D113</f>
        <v>0</v>
      </c>
      <c r="C8" s="167">
        <f>Datos!E113</f>
        <v>0</v>
      </c>
      <c r="D8" s="168">
        <f>Datos!F113</f>
        <v>0</v>
      </c>
      <c r="E8" s="169">
        <f t="shared" si="0"/>
        <v>0</v>
      </c>
      <c r="F8" s="166">
        <f>Datos!H113</f>
        <v>0</v>
      </c>
      <c r="G8" s="167">
        <f>Datos!I113</f>
        <v>0</v>
      </c>
      <c r="H8" s="168">
        <f>Datos!J113</f>
        <v>0</v>
      </c>
      <c r="I8" s="169">
        <f t="shared" si="1"/>
        <v>0</v>
      </c>
      <c r="J8" s="166">
        <f t="shared" si="2"/>
        <v>0</v>
      </c>
      <c r="K8" s="167">
        <f t="shared" si="2"/>
        <v>0</v>
      </c>
      <c r="L8" s="168">
        <f t="shared" si="2"/>
        <v>0</v>
      </c>
      <c r="M8" s="169">
        <f t="shared" si="3"/>
        <v>0</v>
      </c>
    </row>
    <row r="9" spans="1:13" ht="15.75" x14ac:dyDescent="0.25">
      <c r="A9" s="165" t="s">
        <v>278</v>
      </c>
      <c r="B9" s="166">
        <f>Datos!D114</f>
        <v>0</v>
      </c>
      <c r="C9" s="167">
        <f>Datos!E114</f>
        <v>0</v>
      </c>
      <c r="D9" s="168">
        <f>Datos!F114</f>
        <v>0</v>
      </c>
      <c r="E9" s="169">
        <f t="shared" si="0"/>
        <v>0</v>
      </c>
      <c r="F9" s="166">
        <f>Datos!H114</f>
        <v>0</v>
      </c>
      <c r="G9" s="167">
        <f>Datos!I114</f>
        <v>0</v>
      </c>
      <c r="H9" s="168">
        <f>Datos!J114</f>
        <v>0</v>
      </c>
      <c r="I9" s="169">
        <f t="shared" si="1"/>
        <v>0</v>
      </c>
      <c r="J9" s="166">
        <f t="shared" si="2"/>
        <v>0</v>
      </c>
      <c r="K9" s="167">
        <f t="shared" si="2"/>
        <v>0</v>
      </c>
      <c r="L9" s="168">
        <f t="shared" si="2"/>
        <v>0</v>
      </c>
      <c r="M9" s="169">
        <f t="shared" si="3"/>
        <v>0</v>
      </c>
    </row>
    <row r="10" spans="1:13" ht="15.75" x14ac:dyDescent="0.25">
      <c r="A10" s="165" t="s">
        <v>1119</v>
      </c>
      <c r="B10" s="166">
        <f>Datos!D115+Datos!D116</f>
        <v>0</v>
      </c>
      <c r="C10" s="167">
        <f>Datos!E115+Datos!E116</f>
        <v>8</v>
      </c>
      <c r="D10" s="168">
        <f>Datos!F115+Datos!F116</f>
        <v>0</v>
      </c>
      <c r="E10" s="169">
        <f t="shared" si="0"/>
        <v>8</v>
      </c>
      <c r="F10" s="166">
        <f>Datos!H115+Datos!H116</f>
        <v>0</v>
      </c>
      <c r="G10" s="167">
        <f>Datos!I115+Datos!I116</f>
        <v>0</v>
      </c>
      <c r="H10" s="168">
        <f>Datos!J115+Datos!J116</f>
        <v>0</v>
      </c>
      <c r="I10" s="169">
        <f t="shared" si="1"/>
        <v>0</v>
      </c>
      <c r="J10" s="166">
        <f t="shared" si="2"/>
        <v>0</v>
      </c>
      <c r="K10" s="167">
        <f t="shared" si="2"/>
        <v>8</v>
      </c>
      <c r="L10" s="168">
        <f t="shared" si="2"/>
        <v>0</v>
      </c>
      <c r="M10" s="169">
        <f t="shared" si="3"/>
        <v>8</v>
      </c>
    </row>
    <row r="11" spans="1:13" ht="15.75" x14ac:dyDescent="0.25">
      <c r="A11" s="165" t="s">
        <v>1120</v>
      </c>
      <c r="B11" s="166">
        <f>Datos!D117+Datos!D118</f>
        <v>0</v>
      </c>
      <c r="C11" s="167">
        <f>Datos!E117+Datos!E118</f>
        <v>0</v>
      </c>
      <c r="D11" s="168">
        <f>Datos!F117+Datos!F118</f>
        <v>0</v>
      </c>
      <c r="E11" s="169">
        <f t="shared" si="0"/>
        <v>0</v>
      </c>
      <c r="F11" s="166">
        <f>Datos!H117+Datos!H118</f>
        <v>3</v>
      </c>
      <c r="G11" s="167">
        <f>Datos!I117+Datos!I118</f>
        <v>0</v>
      </c>
      <c r="H11" s="168">
        <f>Datos!J117+Datos!J118</f>
        <v>0</v>
      </c>
      <c r="I11" s="169">
        <f t="shared" si="1"/>
        <v>3</v>
      </c>
      <c r="J11" s="166">
        <f t="shared" si="2"/>
        <v>3</v>
      </c>
      <c r="K11" s="167">
        <f t="shared" si="2"/>
        <v>0</v>
      </c>
      <c r="L11" s="168">
        <f t="shared" si="2"/>
        <v>0</v>
      </c>
      <c r="M11" s="169">
        <f t="shared" si="3"/>
        <v>3</v>
      </c>
    </row>
    <row r="12" spans="1:13" ht="15.75" x14ac:dyDescent="0.25">
      <c r="A12" s="165" t="s">
        <v>279</v>
      </c>
      <c r="B12" s="166">
        <f>Datos!D119</f>
        <v>0</v>
      </c>
      <c r="C12" s="167">
        <f>Datos!E119</f>
        <v>0</v>
      </c>
      <c r="D12" s="168">
        <f>Datos!F119</f>
        <v>0</v>
      </c>
      <c r="E12" s="169">
        <f t="shared" si="0"/>
        <v>0</v>
      </c>
      <c r="F12" s="166">
        <f>Datos!H119</f>
        <v>0</v>
      </c>
      <c r="G12" s="167">
        <f>Datos!I119</f>
        <v>0</v>
      </c>
      <c r="H12" s="168">
        <f>Datos!J119</f>
        <v>0</v>
      </c>
      <c r="I12" s="169">
        <f t="shared" si="1"/>
        <v>0</v>
      </c>
      <c r="J12" s="166">
        <f t="shared" si="2"/>
        <v>0</v>
      </c>
      <c r="K12" s="167">
        <f t="shared" si="2"/>
        <v>0</v>
      </c>
      <c r="L12" s="168">
        <f t="shared" si="2"/>
        <v>0</v>
      </c>
      <c r="M12" s="169">
        <f t="shared" si="3"/>
        <v>0</v>
      </c>
    </row>
    <row r="13" spans="1:13" ht="15.75" x14ac:dyDescent="0.25">
      <c r="A13" s="165" t="s">
        <v>1128</v>
      </c>
      <c r="B13" s="166">
        <f>SUM(Datos!D121:D124)</f>
        <v>0</v>
      </c>
      <c r="C13" s="167">
        <f>SUM(Datos!E121:E124)</f>
        <v>0</v>
      </c>
      <c r="D13" s="168">
        <f>SUM(Datos!F121:F124)</f>
        <v>0</v>
      </c>
      <c r="E13" s="169">
        <f t="shared" si="0"/>
        <v>0</v>
      </c>
      <c r="F13" s="166">
        <f>SUM(Datos!H121:H124)</f>
        <v>0</v>
      </c>
      <c r="G13" s="167">
        <f>SUM(Datos!I121:I124)</f>
        <v>0</v>
      </c>
      <c r="H13" s="168">
        <f>SUM(Datos!J121:J124)</f>
        <v>0</v>
      </c>
      <c r="I13" s="169">
        <f t="shared" si="1"/>
        <v>0</v>
      </c>
      <c r="J13" s="166">
        <f t="shared" si="2"/>
        <v>0</v>
      </c>
      <c r="K13" s="167">
        <f t="shared" si="2"/>
        <v>0</v>
      </c>
      <c r="L13" s="168">
        <f t="shared" si="2"/>
        <v>0</v>
      </c>
      <c r="M13" s="169">
        <f t="shared" si="3"/>
        <v>0</v>
      </c>
    </row>
    <row r="14" spans="1:13" ht="15.75" x14ac:dyDescent="0.25">
      <c r="A14" s="188" t="s">
        <v>1097</v>
      </c>
      <c r="B14" s="189">
        <f>SUM(B7:B13)</f>
        <v>16</v>
      </c>
      <c r="C14" s="190">
        <f>SUM(C7:C13)</f>
        <v>22</v>
      </c>
      <c r="D14" s="191">
        <f>SUM(D7:D13)</f>
        <v>239</v>
      </c>
      <c r="E14" s="192">
        <f t="shared" si="0"/>
        <v>277</v>
      </c>
      <c r="F14" s="189">
        <f>SUM(F7:F13)</f>
        <v>60</v>
      </c>
      <c r="G14" s="190">
        <f>SUM(G7:G13)</f>
        <v>32</v>
      </c>
      <c r="H14" s="191">
        <f>SUM(H7:H13)</f>
        <v>472</v>
      </c>
      <c r="I14" s="192">
        <f t="shared" si="1"/>
        <v>564</v>
      </c>
      <c r="J14" s="189">
        <f>SUM(J7:J13)</f>
        <v>76</v>
      </c>
      <c r="K14" s="190">
        <f>SUM(K7:K13)</f>
        <v>54</v>
      </c>
      <c r="L14" s="191">
        <f>SUM(L7:L13)</f>
        <v>711</v>
      </c>
      <c r="M14" s="192">
        <f t="shared" si="3"/>
        <v>841</v>
      </c>
    </row>
    <row r="15" spans="1:13" ht="15.75" x14ac:dyDescent="0.25">
      <c r="A15" s="203" t="s">
        <v>1122</v>
      </c>
      <c r="B15" s="201"/>
      <c r="C15" s="202"/>
      <c r="D15" s="202"/>
      <c r="E15" s="193">
        <f>+E14/$M$14</f>
        <v>0.32936979785969084</v>
      </c>
      <c r="F15" s="201"/>
      <c r="G15" s="202"/>
      <c r="H15" s="202"/>
      <c r="I15" s="193">
        <f>+I14/$M$14</f>
        <v>0.67063020214030911</v>
      </c>
      <c r="J15" s="201"/>
      <c r="K15" s="202"/>
      <c r="L15" s="202"/>
      <c r="M15" s="193">
        <f>+M14/$M$14</f>
        <v>1</v>
      </c>
    </row>
    <row r="16" spans="1:13" x14ac:dyDescent="0.25">
      <c r="A16" s="155"/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</row>
    <row r="17" spans="1:13" ht="18.75" x14ac:dyDescent="0.3">
      <c r="A17" s="213" t="str">
        <f>_xlfn.CONCAT("2.-Número de licencias médicas presentadas entre Enero y ",Datos!$D$197," de 2025, según género del funcionario afecto, tipo y rango de duración de la licencia médica")</f>
        <v>2.-Número de licencias médicas presentadas entre Enero y Diciembre de 2025, según género del funcionario afecto, tipo y rango de duración de la licencia médica</v>
      </c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</row>
    <row r="18" spans="1:13" x14ac:dyDescent="0.25">
      <c r="A18" s="155"/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</row>
    <row r="19" spans="1:13" x14ac:dyDescent="0.25">
      <c r="A19" s="227" t="s">
        <v>257</v>
      </c>
      <c r="B19" s="215" t="s">
        <v>1113</v>
      </c>
      <c r="C19" s="216"/>
      <c r="D19" s="216"/>
      <c r="E19" s="216"/>
      <c r="F19" s="216"/>
      <c r="G19" s="216"/>
      <c r="H19" s="216"/>
      <c r="I19" s="217"/>
      <c r="J19" s="218" t="s">
        <v>1097</v>
      </c>
      <c r="K19" s="219"/>
      <c r="L19" s="219"/>
      <c r="M19" s="220"/>
    </row>
    <row r="20" spans="1:13" x14ac:dyDescent="0.25">
      <c r="A20" s="227"/>
      <c r="B20" s="224" t="s">
        <v>1114</v>
      </c>
      <c r="C20" s="225"/>
      <c r="D20" s="225"/>
      <c r="E20" s="226"/>
      <c r="F20" s="224" t="s">
        <v>1099</v>
      </c>
      <c r="G20" s="225"/>
      <c r="H20" s="225"/>
      <c r="I20" s="226"/>
      <c r="J20" s="221"/>
      <c r="K20" s="222"/>
      <c r="L20" s="222"/>
      <c r="M20" s="223"/>
    </row>
    <row r="21" spans="1:13" ht="60" x14ac:dyDescent="0.25">
      <c r="A21" s="227"/>
      <c r="B21" s="206" t="s">
        <v>1115</v>
      </c>
      <c r="C21" s="207" t="s">
        <v>1116</v>
      </c>
      <c r="D21" s="208" t="s">
        <v>1117</v>
      </c>
      <c r="E21" s="209" t="s">
        <v>725</v>
      </c>
      <c r="F21" s="206" t="s">
        <v>1115</v>
      </c>
      <c r="G21" s="207" t="s">
        <v>1116</v>
      </c>
      <c r="H21" s="208" t="s">
        <v>1117</v>
      </c>
      <c r="I21" s="209" t="s">
        <v>725</v>
      </c>
      <c r="J21" s="206" t="s">
        <v>1115</v>
      </c>
      <c r="K21" s="207" t="s">
        <v>1116</v>
      </c>
      <c r="L21" s="208" t="s">
        <v>1117</v>
      </c>
      <c r="M21" s="157" t="s">
        <v>725</v>
      </c>
    </row>
    <row r="22" spans="1:13" ht="15.75" x14ac:dyDescent="0.25">
      <c r="A22" s="159" t="s">
        <v>275</v>
      </c>
      <c r="B22" s="160">
        <f>Datos!D134+Datos!D135</f>
        <v>9</v>
      </c>
      <c r="C22" s="161">
        <f>Datos!E134+Datos!E135</f>
        <v>3</v>
      </c>
      <c r="D22" s="162">
        <f>Datos!F134+Datos!F135</f>
        <v>10</v>
      </c>
      <c r="E22" s="163">
        <f t="shared" ref="E22:E29" si="4">SUM(B22:D22)</f>
        <v>22</v>
      </c>
      <c r="F22" s="160">
        <f>Datos!H134+Datos!H135</f>
        <v>27</v>
      </c>
      <c r="G22" s="161">
        <f>Datos!I134+Datos!I135</f>
        <v>6</v>
      </c>
      <c r="H22" s="162">
        <f>Datos!J134+Datos!J135</f>
        <v>26</v>
      </c>
      <c r="I22" s="163">
        <f t="shared" ref="I22:I29" si="5">SUM(F22:H22)</f>
        <v>59</v>
      </c>
      <c r="J22" s="160">
        <f t="shared" ref="J22:L28" si="6">B22+F22</f>
        <v>36</v>
      </c>
      <c r="K22" s="161">
        <f t="shared" si="6"/>
        <v>9</v>
      </c>
      <c r="L22" s="162">
        <f t="shared" si="6"/>
        <v>36</v>
      </c>
      <c r="M22" s="163">
        <f t="shared" ref="M22:M28" si="7">SUM(J22:L22)</f>
        <v>81</v>
      </c>
    </row>
    <row r="23" spans="1:13" ht="15.75" x14ac:dyDescent="0.25">
      <c r="A23" s="165" t="s">
        <v>1103</v>
      </c>
      <c r="B23" s="166">
        <f>Datos!D136</f>
        <v>0</v>
      </c>
      <c r="C23" s="167">
        <f>Datos!E136</f>
        <v>0</v>
      </c>
      <c r="D23" s="168">
        <f>Datos!F136</f>
        <v>0</v>
      </c>
      <c r="E23" s="169">
        <f t="shared" si="4"/>
        <v>0</v>
      </c>
      <c r="F23" s="166">
        <f>Datos!H136</f>
        <v>0</v>
      </c>
      <c r="G23" s="167">
        <f>Datos!I136</f>
        <v>0</v>
      </c>
      <c r="H23" s="168">
        <f>Datos!J136</f>
        <v>0</v>
      </c>
      <c r="I23" s="169">
        <f t="shared" si="5"/>
        <v>0</v>
      </c>
      <c r="J23" s="166">
        <f t="shared" si="6"/>
        <v>0</v>
      </c>
      <c r="K23" s="167">
        <f t="shared" si="6"/>
        <v>0</v>
      </c>
      <c r="L23" s="168">
        <f t="shared" si="6"/>
        <v>0</v>
      </c>
      <c r="M23" s="169">
        <f t="shared" si="7"/>
        <v>0</v>
      </c>
    </row>
    <row r="24" spans="1:13" ht="15.75" x14ac:dyDescent="0.25">
      <c r="A24" s="165" t="s">
        <v>278</v>
      </c>
      <c r="B24" s="166">
        <f>Datos!D137</f>
        <v>0</v>
      </c>
      <c r="C24" s="167">
        <f>Datos!E137</f>
        <v>0</v>
      </c>
      <c r="D24" s="168">
        <f>Datos!F137</f>
        <v>0</v>
      </c>
      <c r="E24" s="169">
        <f t="shared" si="4"/>
        <v>0</v>
      </c>
      <c r="F24" s="166">
        <f>Datos!H137</f>
        <v>0</v>
      </c>
      <c r="G24" s="167">
        <f>Datos!I137</f>
        <v>0</v>
      </c>
      <c r="H24" s="168">
        <f>Datos!J137</f>
        <v>0</v>
      </c>
      <c r="I24" s="169">
        <f t="shared" si="5"/>
        <v>0</v>
      </c>
      <c r="J24" s="166">
        <f t="shared" si="6"/>
        <v>0</v>
      </c>
      <c r="K24" s="167">
        <f t="shared" si="6"/>
        <v>0</v>
      </c>
      <c r="L24" s="168">
        <f t="shared" si="6"/>
        <v>0</v>
      </c>
      <c r="M24" s="169">
        <f t="shared" si="7"/>
        <v>0</v>
      </c>
    </row>
    <row r="25" spans="1:13" ht="15.75" x14ac:dyDescent="0.25">
      <c r="A25" s="165" t="s">
        <v>1119</v>
      </c>
      <c r="B25" s="166">
        <f>Datos!D138+Datos!D139</f>
        <v>0</v>
      </c>
      <c r="C25" s="167">
        <f>Datos!E138+Datos!E139</f>
        <v>1</v>
      </c>
      <c r="D25" s="168">
        <f>Datos!F138+Datos!F139</f>
        <v>0</v>
      </c>
      <c r="E25" s="169">
        <f t="shared" si="4"/>
        <v>1</v>
      </c>
      <c r="F25" s="166">
        <f>Datos!H138+Datos!H139</f>
        <v>0</v>
      </c>
      <c r="G25" s="167">
        <f>Datos!I138+Datos!I139</f>
        <v>0</v>
      </c>
      <c r="H25" s="168">
        <f>Datos!J138+Datos!J139</f>
        <v>0</v>
      </c>
      <c r="I25" s="169">
        <f t="shared" si="5"/>
        <v>0</v>
      </c>
      <c r="J25" s="166">
        <f t="shared" si="6"/>
        <v>0</v>
      </c>
      <c r="K25" s="167">
        <f t="shared" si="6"/>
        <v>1</v>
      </c>
      <c r="L25" s="168">
        <f t="shared" si="6"/>
        <v>0</v>
      </c>
      <c r="M25" s="169">
        <f t="shared" si="7"/>
        <v>1</v>
      </c>
    </row>
    <row r="26" spans="1:13" ht="15.75" x14ac:dyDescent="0.25">
      <c r="A26" s="165" t="s">
        <v>1120</v>
      </c>
      <c r="B26" s="166">
        <f>Datos!D140+Datos!D141</f>
        <v>0</v>
      </c>
      <c r="C26" s="167">
        <f>Datos!E140+Datos!E141</f>
        <v>0</v>
      </c>
      <c r="D26" s="168">
        <f>Datos!F140+Datos!F141</f>
        <v>0</v>
      </c>
      <c r="E26" s="169">
        <f t="shared" si="4"/>
        <v>0</v>
      </c>
      <c r="F26" s="166">
        <f>Datos!H140+Datos!H141</f>
        <v>1</v>
      </c>
      <c r="G26" s="167">
        <f>Datos!I140+Datos!I141</f>
        <v>0</v>
      </c>
      <c r="H26" s="168">
        <f>Datos!J140+Datos!J141</f>
        <v>0</v>
      </c>
      <c r="I26" s="169">
        <f t="shared" si="5"/>
        <v>1</v>
      </c>
      <c r="J26" s="166">
        <f t="shared" si="6"/>
        <v>1</v>
      </c>
      <c r="K26" s="167">
        <f t="shared" si="6"/>
        <v>0</v>
      </c>
      <c r="L26" s="168">
        <f t="shared" si="6"/>
        <v>0</v>
      </c>
      <c r="M26" s="169">
        <f t="shared" si="7"/>
        <v>1</v>
      </c>
    </row>
    <row r="27" spans="1:13" ht="15.75" x14ac:dyDescent="0.25">
      <c r="A27" s="165" t="s">
        <v>279</v>
      </c>
      <c r="B27" s="166">
        <f>+Datos!D142</f>
        <v>0</v>
      </c>
      <c r="C27" s="167">
        <f>+Datos!E142</f>
        <v>0</v>
      </c>
      <c r="D27" s="168">
        <f>+Datos!F142</f>
        <v>0</v>
      </c>
      <c r="E27" s="169">
        <f t="shared" si="4"/>
        <v>0</v>
      </c>
      <c r="F27" s="166">
        <f>+Datos!H142</f>
        <v>0</v>
      </c>
      <c r="G27" s="167">
        <f>+Datos!I142</f>
        <v>0</v>
      </c>
      <c r="H27" s="168">
        <f>+Datos!J142</f>
        <v>0</v>
      </c>
      <c r="I27" s="169">
        <f t="shared" si="5"/>
        <v>0</v>
      </c>
      <c r="J27" s="166">
        <f t="shared" si="6"/>
        <v>0</v>
      </c>
      <c r="K27" s="167">
        <f t="shared" si="6"/>
        <v>0</v>
      </c>
      <c r="L27" s="168">
        <f t="shared" si="6"/>
        <v>0</v>
      </c>
      <c r="M27" s="169">
        <f t="shared" si="7"/>
        <v>0</v>
      </c>
    </row>
    <row r="28" spans="1:13" ht="15.75" x14ac:dyDescent="0.25">
      <c r="A28" s="165" t="s">
        <v>1128</v>
      </c>
      <c r="B28" s="166">
        <f>SUM(Datos!D144:D147)</f>
        <v>0</v>
      </c>
      <c r="C28" s="167">
        <f>SUM(Datos!E144:E147)</f>
        <v>0</v>
      </c>
      <c r="D28" s="168">
        <f>SUM(Datos!F144:F147)</f>
        <v>0</v>
      </c>
      <c r="E28" s="169">
        <f t="shared" si="4"/>
        <v>0</v>
      </c>
      <c r="F28" s="166">
        <f>SUM(Datos!H144:H147)</f>
        <v>0</v>
      </c>
      <c r="G28" s="167">
        <f>SUM(Datos!I144:I147)</f>
        <v>0</v>
      </c>
      <c r="H28" s="168">
        <f>SUM(Datos!J144:J147)</f>
        <v>0</v>
      </c>
      <c r="I28" s="169">
        <f t="shared" si="5"/>
        <v>0</v>
      </c>
      <c r="J28" s="166">
        <f t="shared" si="6"/>
        <v>0</v>
      </c>
      <c r="K28" s="167">
        <f t="shared" si="6"/>
        <v>0</v>
      </c>
      <c r="L28" s="168">
        <f t="shared" si="6"/>
        <v>0</v>
      </c>
      <c r="M28" s="169">
        <f t="shared" si="7"/>
        <v>0</v>
      </c>
    </row>
    <row r="29" spans="1:13" ht="15.75" x14ac:dyDescent="0.25">
      <c r="A29" s="188" t="s">
        <v>1097</v>
      </c>
      <c r="B29" s="189">
        <f>SUM(B22:B28)</f>
        <v>9</v>
      </c>
      <c r="C29" s="190">
        <f>SUM(C22:C28)</f>
        <v>4</v>
      </c>
      <c r="D29" s="191">
        <f>SUM(D22:D28)</f>
        <v>10</v>
      </c>
      <c r="E29" s="192">
        <f t="shared" si="4"/>
        <v>23</v>
      </c>
      <c r="F29" s="189">
        <f>SUM(F22:F28)</f>
        <v>28</v>
      </c>
      <c r="G29" s="190">
        <f>SUM(G22:G28)</f>
        <v>6</v>
      </c>
      <c r="H29" s="191">
        <f>SUM(H22:H28)</f>
        <v>26</v>
      </c>
      <c r="I29" s="192">
        <f t="shared" si="5"/>
        <v>60</v>
      </c>
      <c r="J29" s="189">
        <f>SUM(J22:J28)</f>
        <v>37</v>
      </c>
      <c r="K29" s="190">
        <f>SUM(K22:K28)</f>
        <v>10</v>
      </c>
      <c r="L29" s="191">
        <f>SUM(L22:L28)</f>
        <v>36</v>
      </c>
      <c r="M29" s="192">
        <f>SUM(J29:L29)</f>
        <v>83</v>
      </c>
    </row>
    <row r="30" spans="1:13" ht="15.75" x14ac:dyDescent="0.25">
      <c r="A30" s="194" t="s">
        <v>1123</v>
      </c>
      <c r="B30" s="201"/>
      <c r="C30" s="202"/>
      <c r="D30" s="202"/>
      <c r="E30" s="195">
        <f>+Datos!$AB$2</f>
        <v>17</v>
      </c>
      <c r="F30" s="201"/>
      <c r="G30" s="202"/>
      <c r="H30" s="202"/>
      <c r="I30" s="195">
        <f>+Datos!$AB$1</f>
        <v>21</v>
      </c>
      <c r="J30" s="201"/>
      <c r="K30" s="202"/>
      <c r="L30" s="202"/>
      <c r="M30" s="195">
        <f>+I30+E30</f>
        <v>38</v>
      </c>
    </row>
    <row r="31" spans="1:13" x14ac:dyDescent="0.25">
      <c r="A31" s="155"/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</row>
    <row r="32" spans="1:13" ht="18.75" x14ac:dyDescent="0.3">
      <c r="A32" s="213" t="str">
        <f>_xlfn.CONCAT("3.-Número de licencias médicas presentadas entre Enero y ",Datos!$D$197," de 2025 con reembolso, según género del funcionario afecto, tipo y rango de duración de la licencia médica")</f>
        <v>3.-Número de licencias médicas presentadas entre Enero y Diciembre de 2025 con reembolso, según género del funcionario afecto, tipo y rango de duración de la licencia médica</v>
      </c>
      <c r="B32" s="213"/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</row>
    <row r="33" spans="1:14" x14ac:dyDescent="0.25">
      <c r="A33" s="155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</row>
    <row r="34" spans="1:14" x14ac:dyDescent="0.25">
      <c r="A34" s="227" t="s">
        <v>257</v>
      </c>
      <c r="B34" s="215" t="s">
        <v>1113</v>
      </c>
      <c r="C34" s="216"/>
      <c r="D34" s="216"/>
      <c r="E34" s="216"/>
      <c r="F34" s="216"/>
      <c r="G34" s="216"/>
      <c r="H34" s="216"/>
      <c r="I34" s="217"/>
      <c r="J34" s="218" t="s">
        <v>1097</v>
      </c>
      <c r="K34" s="219"/>
      <c r="L34" s="219"/>
      <c r="M34" s="220"/>
    </row>
    <row r="35" spans="1:14" x14ac:dyDescent="0.25">
      <c r="A35" s="227"/>
      <c r="B35" s="224" t="s">
        <v>1114</v>
      </c>
      <c r="C35" s="225"/>
      <c r="D35" s="225"/>
      <c r="E35" s="226"/>
      <c r="F35" s="224" t="s">
        <v>1099</v>
      </c>
      <c r="G35" s="225"/>
      <c r="H35" s="225"/>
      <c r="I35" s="226"/>
      <c r="J35" s="221"/>
      <c r="K35" s="222"/>
      <c r="L35" s="222"/>
      <c r="M35" s="223"/>
    </row>
    <row r="36" spans="1:14" ht="60" x14ac:dyDescent="0.25">
      <c r="A36" s="227"/>
      <c r="B36" s="206" t="s">
        <v>1115</v>
      </c>
      <c r="C36" s="207" t="s">
        <v>1116</v>
      </c>
      <c r="D36" s="208" t="s">
        <v>1117</v>
      </c>
      <c r="E36" s="209" t="s">
        <v>725</v>
      </c>
      <c r="F36" s="206" t="s">
        <v>1115</v>
      </c>
      <c r="G36" s="207" t="s">
        <v>1116</v>
      </c>
      <c r="H36" s="208" t="s">
        <v>1117</v>
      </c>
      <c r="I36" s="209" t="s">
        <v>725</v>
      </c>
      <c r="J36" s="206" t="s">
        <v>1115</v>
      </c>
      <c r="K36" s="207" t="s">
        <v>1116</v>
      </c>
      <c r="L36" s="208" t="s">
        <v>1117</v>
      </c>
      <c r="M36" s="157" t="s">
        <v>725</v>
      </c>
    </row>
    <row r="37" spans="1:14" ht="15.75" x14ac:dyDescent="0.25">
      <c r="A37" s="159" t="s">
        <v>275</v>
      </c>
      <c r="B37" s="160">
        <f>+Datos!D157+Datos!D158</f>
        <v>0</v>
      </c>
      <c r="C37" s="161">
        <f>+Datos!E157+Datos!E158</f>
        <v>0</v>
      </c>
      <c r="D37" s="162">
        <f>+Datos!F157+Datos!F158</f>
        <v>0</v>
      </c>
      <c r="E37" s="163">
        <f t="shared" ref="E37:E44" si="8">SUM(B37:D37)</f>
        <v>0</v>
      </c>
      <c r="F37" s="160">
        <f>+Datos!H157+Datos!H158</f>
        <v>0</v>
      </c>
      <c r="G37" s="161">
        <f>+Datos!I157+Datos!I158</f>
        <v>0</v>
      </c>
      <c r="H37" s="162">
        <f>+Datos!J157+Datos!J158</f>
        <v>0</v>
      </c>
      <c r="I37" s="163">
        <f t="shared" ref="I37:I44" si="9">SUM(F37:H37)</f>
        <v>0</v>
      </c>
      <c r="J37" s="160">
        <f t="shared" ref="J37:L43" si="10">B37+F37</f>
        <v>0</v>
      </c>
      <c r="K37" s="161">
        <f t="shared" si="10"/>
        <v>0</v>
      </c>
      <c r="L37" s="162">
        <f t="shared" si="10"/>
        <v>0</v>
      </c>
      <c r="M37" s="163">
        <f t="shared" ref="M37:M43" si="11">SUM(J37:L37)</f>
        <v>0</v>
      </c>
    </row>
    <row r="38" spans="1:14" ht="15.75" x14ac:dyDescent="0.25">
      <c r="A38" s="165" t="s">
        <v>1103</v>
      </c>
      <c r="B38" s="166">
        <f>+Datos!D159</f>
        <v>0</v>
      </c>
      <c r="C38" s="167">
        <f>+Datos!E159</f>
        <v>0</v>
      </c>
      <c r="D38" s="168">
        <f>+Datos!F159</f>
        <v>0</v>
      </c>
      <c r="E38" s="169">
        <f t="shared" si="8"/>
        <v>0</v>
      </c>
      <c r="F38" s="166">
        <f>+Datos!H159</f>
        <v>0</v>
      </c>
      <c r="G38" s="167">
        <f>+Datos!I159</f>
        <v>0</v>
      </c>
      <c r="H38" s="168">
        <f>+Datos!J159</f>
        <v>0</v>
      </c>
      <c r="I38" s="169">
        <f t="shared" si="9"/>
        <v>0</v>
      </c>
      <c r="J38" s="166">
        <f t="shared" si="10"/>
        <v>0</v>
      </c>
      <c r="K38" s="167">
        <f t="shared" si="10"/>
        <v>0</v>
      </c>
      <c r="L38" s="168">
        <f t="shared" si="10"/>
        <v>0</v>
      </c>
      <c r="M38" s="169">
        <f t="shared" si="11"/>
        <v>0</v>
      </c>
    </row>
    <row r="39" spans="1:14" ht="15.75" x14ac:dyDescent="0.25">
      <c r="A39" s="165" t="s">
        <v>278</v>
      </c>
      <c r="B39" s="166">
        <f>+Datos!D160</f>
        <v>0</v>
      </c>
      <c r="C39" s="167">
        <f>+Datos!E160</f>
        <v>0</v>
      </c>
      <c r="D39" s="168">
        <f>+Datos!F160</f>
        <v>0</v>
      </c>
      <c r="E39" s="169">
        <f t="shared" si="8"/>
        <v>0</v>
      </c>
      <c r="F39" s="166">
        <f>+Datos!H160</f>
        <v>0</v>
      </c>
      <c r="G39" s="167">
        <f>+Datos!I160</f>
        <v>0</v>
      </c>
      <c r="H39" s="168">
        <f>+Datos!J160</f>
        <v>0</v>
      </c>
      <c r="I39" s="169">
        <f t="shared" si="9"/>
        <v>0</v>
      </c>
      <c r="J39" s="166">
        <f t="shared" si="10"/>
        <v>0</v>
      </c>
      <c r="K39" s="167">
        <f t="shared" si="10"/>
        <v>0</v>
      </c>
      <c r="L39" s="168">
        <f t="shared" si="10"/>
        <v>0</v>
      </c>
      <c r="M39" s="169">
        <f t="shared" si="11"/>
        <v>0</v>
      </c>
    </row>
    <row r="40" spans="1:14" ht="15.75" x14ac:dyDescent="0.25">
      <c r="A40" s="165" t="s">
        <v>1119</v>
      </c>
      <c r="B40" s="166">
        <f>+Datos!D161+Datos!D162</f>
        <v>0</v>
      </c>
      <c r="C40" s="167">
        <f>+Datos!E161+Datos!E162</f>
        <v>0</v>
      </c>
      <c r="D40" s="168">
        <f>+Datos!F161+Datos!F162</f>
        <v>0</v>
      </c>
      <c r="E40" s="169">
        <f t="shared" si="8"/>
        <v>0</v>
      </c>
      <c r="F40" s="166">
        <f>+Datos!H161+Datos!H162</f>
        <v>0</v>
      </c>
      <c r="G40" s="167">
        <f>+Datos!I161+Datos!I162</f>
        <v>0</v>
      </c>
      <c r="H40" s="168">
        <f>+Datos!J161+Datos!J162</f>
        <v>0</v>
      </c>
      <c r="I40" s="169">
        <f t="shared" si="9"/>
        <v>0</v>
      </c>
      <c r="J40" s="166">
        <f t="shared" si="10"/>
        <v>0</v>
      </c>
      <c r="K40" s="167">
        <f t="shared" si="10"/>
        <v>0</v>
      </c>
      <c r="L40" s="168">
        <f t="shared" si="10"/>
        <v>0</v>
      </c>
      <c r="M40" s="169">
        <f t="shared" si="11"/>
        <v>0</v>
      </c>
    </row>
    <row r="41" spans="1:14" ht="15.75" x14ac:dyDescent="0.25">
      <c r="A41" s="165" t="s">
        <v>1120</v>
      </c>
      <c r="B41" s="166">
        <f>+Datos!D163+Datos!D164</f>
        <v>0</v>
      </c>
      <c r="C41" s="167">
        <f>+Datos!E163+Datos!E164</f>
        <v>0</v>
      </c>
      <c r="D41" s="168">
        <f>+Datos!F163+Datos!F164</f>
        <v>0</v>
      </c>
      <c r="E41" s="169">
        <f t="shared" si="8"/>
        <v>0</v>
      </c>
      <c r="F41" s="166">
        <f>+Datos!H163+Datos!H164</f>
        <v>1</v>
      </c>
      <c r="G41" s="167">
        <f>+Datos!I163+Datos!I164</f>
        <v>0</v>
      </c>
      <c r="H41" s="168">
        <f>+Datos!J163+Datos!J164</f>
        <v>0</v>
      </c>
      <c r="I41" s="169">
        <f t="shared" si="9"/>
        <v>1</v>
      </c>
      <c r="J41" s="166">
        <f t="shared" si="10"/>
        <v>1</v>
      </c>
      <c r="K41" s="167">
        <f t="shared" si="10"/>
        <v>0</v>
      </c>
      <c r="L41" s="168">
        <f t="shared" si="10"/>
        <v>0</v>
      </c>
      <c r="M41" s="169">
        <f t="shared" si="11"/>
        <v>1</v>
      </c>
    </row>
    <row r="42" spans="1:14" ht="15.75" x14ac:dyDescent="0.25">
      <c r="A42" s="165" t="s">
        <v>279</v>
      </c>
      <c r="B42" s="166">
        <f>+Datos!D165</f>
        <v>0</v>
      </c>
      <c r="C42" s="167">
        <f>+Datos!E165</f>
        <v>0</v>
      </c>
      <c r="D42" s="168">
        <f>+Datos!F165</f>
        <v>0</v>
      </c>
      <c r="E42" s="169">
        <f t="shared" si="8"/>
        <v>0</v>
      </c>
      <c r="F42" s="166">
        <f>+Datos!H165</f>
        <v>0</v>
      </c>
      <c r="G42" s="167">
        <f>+Datos!I165</f>
        <v>0</v>
      </c>
      <c r="H42" s="168">
        <f>+Datos!J165</f>
        <v>0</v>
      </c>
      <c r="I42" s="169">
        <f t="shared" si="9"/>
        <v>0</v>
      </c>
      <c r="J42" s="166">
        <f t="shared" si="10"/>
        <v>0</v>
      </c>
      <c r="K42" s="167">
        <f t="shared" si="10"/>
        <v>0</v>
      </c>
      <c r="L42" s="168">
        <f t="shared" si="10"/>
        <v>0</v>
      </c>
      <c r="M42" s="169">
        <f t="shared" si="11"/>
        <v>0</v>
      </c>
    </row>
    <row r="43" spans="1:14" ht="15.75" x14ac:dyDescent="0.25">
      <c r="A43" s="165" t="s">
        <v>1128</v>
      </c>
      <c r="B43" s="166">
        <f>Datos!D167+Datos!D168+Datos!D169+Datos!D170</f>
        <v>0</v>
      </c>
      <c r="C43" s="167">
        <f>Datos!E167+Datos!E168+Datos!E169+Datos!E170</f>
        <v>0</v>
      </c>
      <c r="D43" s="168">
        <f>Datos!F167+Datos!F168+Datos!F169+Datos!F170</f>
        <v>0</v>
      </c>
      <c r="E43" s="169">
        <f t="shared" si="8"/>
        <v>0</v>
      </c>
      <c r="F43" s="166">
        <f>Datos!H167+Datos!H168+Datos!H169+Datos!H170</f>
        <v>0</v>
      </c>
      <c r="G43" s="167">
        <f>Datos!I167+Datos!I168+Datos!I169+Datos!I170</f>
        <v>0</v>
      </c>
      <c r="H43" s="168">
        <f>Datos!J167+Datos!J168+Datos!J169+Datos!J170</f>
        <v>0</v>
      </c>
      <c r="I43" s="169">
        <f t="shared" si="9"/>
        <v>0</v>
      </c>
      <c r="J43" s="166">
        <f t="shared" si="10"/>
        <v>0</v>
      </c>
      <c r="K43" s="167">
        <f t="shared" si="10"/>
        <v>0</v>
      </c>
      <c r="L43" s="168">
        <f t="shared" si="10"/>
        <v>0</v>
      </c>
      <c r="M43" s="169">
        <f t="shared" si="11"/>
        <v>0</v>
      </c>
    </row>
    <row r="44" spans="1:14" ht="15.75" x14ac:dyDescent="0.25">
      <c r="A44" s="188" t="s">
        <v>1097</v>
      </c>
      <c r="B44" s="189">
        <f>SUM(B37:B43)</f>
        <v>0</v>
      </c>
      <c r="C44" s="190">
        <f>SUM(C37:C43)</f>
        <v>0</v>
      </c>
      <c r="D44" s="191">
        <f>SUM(D37:D43)</f>
        <v>0</v>
      </c>
      <c r="E44" s="192">
        <f t="shared" si="8"/>
        <v>0</v>
      </c>
      <c r="F44" s="189">
        <f>SUM(F37:F43)</f>
        <v>1</v>
      </c>
      <c r="G44" s="190">
        <f>SUM(G37:G43)</f>
        <v>0</v>
      </c>
      <c r="H44" s="191">
        <f>SUM(H37:H43)</f>
        <v>0</v>
      </c>
      <c r="I44" s="192">
        <f t="shared" si="9"/>
        <v>1</v>
      </c>
      <c r="J44" s="189">
        <f>SUM(J37:J43)</f>
        <v>1</v>
      </c>
      <c r="K44" s="190">
        <f>SUM(K37:K43)</f>
        <v>0</v>
      </c>
      <c r="L44" s="191">
        <f>SUM(L37:L43)</f>
        <v>0</v>
      </c>
      <c r="M44" s="192">
        <f>SUM(J44:L44)</f>
        <v>1</v>
      </c>
      <c r="N44" s="187"/>
    </row>
    <row r="45" spans="1:14" ht="15.75" x14ac:dyDescent="0.25">
      <c r="A45" s="196" t="s">
        <v>1124</v>
      </c>
      <c r="B45" s="204"/>
      <c r="C45" s="205"/>
      <c r="D45" s="205"/>
      <c r="E45" s="193">
        <f>+E44/E29</f>
        <v>0</v>
      </c>
      <c r="F45" s="204"/>
      <c r="G45" s="205"/>
      <c r="H45" s="205"/>
      <c r="I45" s="193">
        <f>+I44/I29</f>
        <v>1.6666666666666666E-2</v>
      </c>
      <c r="J45" s="204"/>
      <c r="K45" s="205"/>
      <c r="L45" s="205"/>
      <c r="M45" s="193">
        <f>+M44/M29</f>
        <v>1.2048192771084338E-2</v>
      </c>
    </row>
    <row r="46" spans="1:14" ht="15.75" x14ac:dyDescent="0.25">
      <c r="A46" s="176"/>
      <c r="B46" s="176"/>
      <c r="C46" s="176"/>
      <c r="D46" s="176"/>
      <c r="E46" s="177"/>
      <c r="F46" s="176"/>
      <c r="G46" s="176"/>
      <c r="H46" s="176"/>
      <c r="I46" s="177"/>
      <c r="J46" s="176"/>
      <c r="K46" s="176"/>
      <c r="L46" s="176"/>
      <c r="M46" s="177"/>
    </row>
    <row r="47" spans="1:14" ht="18.75" x14ac:dyDescent="0.25">
      <c r="A47" s="228" t="str">
        <f>_xlfn.CONCAT("4.-Monto ($) recuperado total de las licencias médicas presentadas entre Enero y ",Datos!$D$197," de 2025, según género del funcionario afecto, tipo y rango de duración de la licencia médica")</f>
        <v>4.-Monto ($) recuperado total de las licencias médicas presentadas entre Enero y Diciembre de 2025, según género del funcionario afecto, tipo y rango de duración de la licencia médica</v>
      </c>
      <c r="B47" s="228"/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</row>
    <row r="48" spans="1:14" x14ac:dyDescent="0.25">
      <c r="A48" s="155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</row>
    <row r="49" spans="1:13" x14ac:dyDescent="0.25">
      <c r="A49" s="227" t="s">
        <v>257</v>
      </c>
      <c r="B49" s="215" t="s">
        <v>1113</v>
      </c>
      <c r="C49" s="216"/>
      <c r="D49" s="216"/>
      <c r="E49" s="216"/>
      <c r="F49" s="216"/>
      <c r="G49" s="216"/>
      <c r="H49" s="216"/>
      <c r="I49" s="217"/>
      <c r="J49" s="218" t="s">
        <v>1097</v>
      </c>
      <c r="K49" s="219"/>
      <c r="L49" s="219"/>
      <c r="M49" s="220"/>
    </row>
    <row r="50" spans="1:13" x14ac:dyDescent="0.25">
      <c r="A50" s="227"/>
      <c r="B50" s="224" t="s">
        <v>1114</v>
      </c>
      <c r="C50" s="225"/>
      <c r="D50" s="225"/>
      <c r="E50" s="226"/>
      <c r="F50" s="224" t="s">
        <v>1099</v>
      </c>
      <c r="G50" s="225"/>
      <c r="H50" s="225"/>
      <c r="I50" s="226"/>
      <c r="J50" s="221"/>
      <c r="K50" s="222"/>
      <c r="L50" s="222"/>
      <c r="M50" s="223"/>
    </row>
    <row r="51" spans="1:13" ht="60" x14ac:dyDescent="0.25">
      <c r="A51" s="227"/>
      <c r="B51" s="206" t="s">
        <v>1115</v>
      </c>
      <c r="C51" s="207" t="s">
        <v>1116</v>
      </c>
      <c r="D51" s="208" t="s">
        <v>1117</v>
      </c>
      <c r="E51" s="209" t="s">
        <v>725</v>
      </c>
      <c r="F51" s="206" t="s">
        <v>1115</v>
      </c>
      <c r="G51" s="207" t="s">
        <v>1116</v>
      </c>
      <c r="H51" s="208" t="s">
        <v>1117</v>
      </c>
      <c r="I51" s="209" t="s">
        <v>725</v>
      </c>
      <c r="J51" s="206" t="s">
        <v>1115</v>
      </c>
      <c r="K51" s="207" t="s">
        <v>1116</v>
      </c>
      <c r="L51" s="208" t="s">
        <v>1117</v>
      </c>
      <c r="M51" s="157" t="s">
        <v>725</v>
      </c>
    </row>
    <row r="52" spans="1:13" ht="15.75" x14ac:dyDescent="0.25">
      <c r="A52" s="159" t="s">
        <v>275</v>
      </c>
      <c r="B52" s="178">
        <f>Datos!D179+Datos!D180</f>
        <v>0</v>
      </c>
      <c r="C52" s="179">
        <f>Datos!E179+Datos!E180</f>
        <v>0</v>
      </c>
      <c r="D52" s="180">
        <f>Datos!F179+Datos!F180</f>
        <v>0</v>
      </c>
      <c r="E52" s="181">
        <f t="shared" ref="E52:E59" si="12">SUM(B52:D52)</f>
        <v>0</v>
      </c>
      <c r="F52" s="178">
        <f>Datos!H179+Datos!H180</f>
        <v>0</v>
      </c>
      <c r="G52" s="179">
        <f>Datos!I179+Datos!I180</f>
        <v>0</v>
      </c>
      <c r="H52" s="180">
        <f>Datos!J179+Datos!J180</f>
        <v>0</v>
      </c>
      <c r="I52" s="181">
        <f t="shared" ref="I52:I59" si="13">SUM(F52:H52)</f>
        <v>0</v>
      </c>
      <c r="J52" s="178">
        <f t="shared" ref="J52:L58" si="14">B52+F52</f>
        <v>0</v>
      </c>
      <c r="K52" s="179">
        <f t="shared" si="14"/>
        <v>0</v>
      </c>
      <c r="L52" s="180">
        <f t="shared" si="14"/>
        <v>0</v>
      </c>
      <c r="M52" s="181">
        <f t="shared" ref="M52:M58" si="15">SUM(J52:L52)</f>
        <v>0</v>
      </c>
    </row>
    <row r="53" spans="1:13" ht="15.75" x14ac:dyDescent="0.25">
      <c r="A53" s="165" t="s">
        <v>1103</v>
      </c>
      <c r="B53" s="182">
        <f>Datos!D181</f>
        <v>0</v>
      </c>
      <c r="C53" s="183">
        <f>Datos!E181</f>
        <v>0</v>
      </c>
      <c r="D53" s="184">
        <f>Datos!F181</f>
        <v>0</v>
      </c>
      <c r="E53" s="185">
        <f t="shared" si="12"/>
        <v>0</v>
      </c>
      <c r="F53" s="182">
        <f>Datos!H181</f>
        <v>0</v>
      </c>
      <c r="G53" s="183">
        <f>Datos!I181</f>
        <v>0</v>
      </c>
      <c r="H53" s="184">
        <f>Datos!J181</f>
        <v>0</v>
      </c>
      <c r="I53" s="185">
        <f t="shared" si="13"/>
        <v>0</v>
      </c>
      <c r="J53" s="182">
        <f t="shared" si="14"/>
        <v>0</v>
      </c>
      <c r="K53" s="183">
        <f t="shared" si="14"/>
        <v>0</v>
      </c>
      <c r="L53" s="184">
        <f t="shared" si="14"/>
        <v>0</v>
      </c>
      <c r="M53" s="185">
        <f t="shared" si="15"/>
        <v>0</v>
      </c>
    </row>
    <row r="54" spans="1:13" ht="15.75" x14ac:dyDescent="0.25">
      <c r="A54" s="165" t="s">
        <v>278</v>
      </c>
      <c r="B54" s="182">
        <f>Datos!D182</f>
        <v>0</v>
      </c>
      <c r="C54" s="183">
        <f>Datos!E182</f>
        <v>0</v>
      </c>
      <c r="D54" s="184">
        <f>Datos!F182</f>
        <v>0</v>
      </c>
      <c r="E54" s="185">
        <f t="shared" si="12"/>
        <v>0</v>
      </c>
      <c r="F54" s="182">
        <f>Datos!H182</f>
        <v>0</v>
      </c>
      <c r="G54" s="183">
        <f>Datos!I182</f>
        <v>0</v>
      </c>
      <c r="H54" s="184">
        <f>Datos!J182</f>
        <v>0</v>
      </c>
      <c r="I54" s="185">
        <f t="shared" si="13"/>
        <v>0</v>
      </c>
      <c r="J54" s="182">
        <f t="shared" si="14"/>
        <v>0</v>
      </c>
      <c r="K54" s="183">
        <f t="shared" si="14"/>
        <v>0</v>
      </c>
      <c r="L54" s="184">
        <f t="shared" si="14"/>
        <v>0</v>
      </c>
      <c r="M54" s="185">
        <f t="shared" si="15"/>
        <v>0</v>
      </c>
    </row>
    <row r="55" spans="1:13" ht="15.75" x14ac:dyDescent="0.25">
      <c r="A55" s="165" t="s">
        <v>1119</v>
      </c>
      <c r="B55" s="182">
        <f>Datos!D183+Datos!D184</f>
        <v>0</v>
      </c>
      <c r="C55" s="183">
        <f>Datos!E183+Datos!E184</f>
        <v>0</v>
      </c>
      <c r="D55" s="184">
        <f>Datos!F183+Datos!F184</f>
        <v>0</v>
      </c>
      <c r="E55" s="185">
        <f t="shared" si="12"/>
        <v>0</v>
      </c>
      <c r="F55" s="182">
        <f>Datos!H183+Datos!H184</f>
        <v>0</v>
      </c>
      <c r="G55" s="183">
        <f>Datos!I183+Datos!I184</f>
        <v>0</v>
      </c>
      <c r="H55" s="184">
        <f>Datos!J183+Datos!J184</f>
        <v>0</v>
      </c>
      <c r="I55" s="185">
        <f t="shared" si="13"/>
        <v>0</v>
      </c>
      <c r="J55" s="182">
        <f t="shared" si="14"/>
        <v>0</v>
      </c>
      <c r="K55" s="183">
        <f t="shared" si="14"/>
        <v>0</v>
      </c>
      <c r="L55" s="184">
        <f t="shared" si="14"/>
        <v>0</v>
      </c>
      <c r="M55" s="185">
        <f t="shared" si="15"/>
        <v>0</v>
      </c>
    </row>
    <row r="56" spans="1:13" ht="15.75" x14ac:dyDescent="0.25">
      <c r="A56" s="165" t="s">
        <v>1120</v>
      </c>
      <c r="B56" s="182">
        <f>Datos!D185+Datos!D186</f>
        <v>0</v>
      </c>
      <c r="C56" s="183">
        <f>Datos!E185+Datos!E186</f>
        <v>0</v>
      </c>
      <c r="D56" s="184">
        <f>Datos!F185+Datos!F186</f>
        <v>0</v>
      </c>
      <c r="E56" s="185">
        <f t="shared" si="12"/>
        <v>0</v>
      </c>
      <c r="F56" s="182">
        <f>Datos!H185+Datos!H186</f>
        <v>267468</v>
      </c>
      <c r="G56" s="183">
        <f>Datos!I185+Datos!I186</f>
        <v>0</v>
      </c>
      <c r="H56" s="184">
        <f>Datos!J185+Datos!J186</f>
        <v>0</v>
      </c>
      <c r="I56" s="185">
        <f t="shared" si="13"/>
        <v>267468</v>
      </c>
      <c r="J56" s="182">
        <f t="shared" si="14"/>
        <v>267468</v>
      </c>
      <c r="K56" s="183">
        <f t="shared" si="14"/>
        <v>0</v>
      </c>
      <c r="L56" s="184">
        <f t="shared" si="14"/>
        <v>0</v>
      </c>
      <c r="M56" s="185">
        <f t="shared" si="15"/>
        <v>267468</v>
      </c>
    </row>
    <row r="57" spans="1:13" ht="15.75" x14ac:dyDescent="0.25">
      <c r="A57" s="165" t="s">
        <v>279</v>
      </c>
      <c r="B57" s="182">
        <f>Datos!D187</f>
        <v>0</v>
      </c>
      <c r="C57" s="183">
        <f>Datos!E187</f>
        <v>0</v>
      </c>
      <c r="D57" s="184">
        <f>Datos!F187</f>
        <v>0</v>
      </c>
      <c r="E57" s="185">
        <f t="shared" si="12"/>
        <v>0</v>
      </c>
      <c r="F57" s="182">
        <f>Datos!H187</f>
        <v>0</v>
      </c>
      <c r="G57" s="183">
        <f>Datos!I187</f>
        <v>0</v>
      </c>
      <c r="H57" s="184">
        <f>Datos!J187</f>
        <v>0</v>
      </c>
      <c r="I57" s="185">
        <f t="shared" si="13"/>
        <v>0</v>
      </c>
      <c r="J57" s="182">
        <f t="shared" si="14"/>
        <v>0</v>
      </c>
      <c r="K57" s="183">
        <f t="shared" si="14"/>
        <v>0</v>
      </c>
      <c r="L57" s="184">
        <f t="shared" si="14"/>
        <v>0</v>
      </c>
      <c r="M57" s="185">
        <f t="shared" si="15"/>
        <v>0</v>
      </c>
    </row>
    <row r="58" spans="1:13" ht="15.75" x14ac:dyDescent="0.25">
      <c r="A58" s="165" t="s">
        <v>1128</v>
      </c>
      <c r="B58" s="182">
        <f>SUM(Datos!D189:D192)</f>
        <v>0</v>
      </c>
      <c r="C58" s="183">
        <f>SUM(Datos!E189:E192)</f>
        <v>0</v>
      </c>
      <c r="D58" s="184">
        <f>SUM(Datos!F189:F192)</f>
        <v>0</v>
      </c>
      <c r="E58" s="185">
        <f t="shared" si="12"/>
        <v>0</v>
      </c>
      <c r="F58" s="182">
        <f>SUM(Datos!H189:H192)</f>
        <v>0</v>
      </c>
      <c r="G58" s="183">
        <f>SUM(Datos!I189:I192)</f>
        <v>0</v>
      </c>
      <c r="H58" s="184">
        <f>SUM(Datos!J189:J192)</f>
        <v>0</v>
      </c>
      <c r="I58" s="185">
        <f t="shared" si="13"/>
        <v>0</v>
      </c>
      <c r="J58" s="182">
        <f t="shared" si="14"/>
        <v>0</v>
      </c>
      <c r="K58" s="183">
        <f t="shared" si="14"/>
        <v>0</v>
      </c>
      <c r="L58" s="184">
        <f t="shared" si="14"/>
        <v>0</v>
      </c>
      <c r="M58" s="185">
        <f t="shared" si="15"/>
        <v>0</v>
      </c>
    </row>
    <row r="59" spans="1:13" ht="15.75" x14ac:dyDescent="0.25">
      <c r="A59" s="188" t="s">
        <v>1097</v>
      </c>
      <c r="B59" s="197">
        <f>SUM(B52:B58)</f>
        <v>0</v>
      </c>
      <c r="C59" s="198">
        <f>SUM(C52:C58)</f>
        <v>0</v>
      </c>
      <c r="D59" s="199">
        <f>SUM(D52:D58)</f>
        <v>0</v>
      </c>
      <c r="E59" s="200">
        <f t="shared" si="12"/>
        <v>0</v>
      </c>
      <c r="F59" s="197">
        <f>SUM(F52:F58)</f>
        <v>267468</v>
      </c>
      <c r="G59" s="198">
        <f>SUM(G52:G58)</f>
        <v>0</v>
      </c>
      <c r="H59" s="199">
        <f>SUM(H52:H58)</f>
        <v>0</v>
      </c>
      <c r="I59" s="200">
        <f t="shared" si="13"/>
        <v>267468</v>
      </c>
      <c r="J59" s="197">
        <f>SUM(J52:J58)</f>
        <v>267468</v>
      </c>
      <c r="K59" s="198">
        <f>SUM(K52:K58)</f>
        <v>0</v>
      </c>
      <c r="L59" s="199">
        <f>SUM(L52:L58)</f>
        <v>0</v>
      </c>
      <c r="M59" s="200">
        <f>SUM(J59:L59)</f>
        <v>267468</v>
      </c>
    </row>
    <row r="60" spans="1:13" x14ac:dyDescent="0.25">
      <c r="A60" s="155"/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</row>
  </sheetData>
  <mergeCells count="24">
    <mergeCell ref="A47:M47"/>
    <mergeCell ref="A49:A51"/>
    <mergeCell ref="B49:I49"/>
    <mergeCell ref="J49:M50"/>
    <mergeCell ref="B50:E50"/>
    <mergeCell ref="F50:I50"/>
    <mergeCell ref="A32:M32"/>
    <mergeCell ref="A34:A36"/>
    <mergeCell ref="B34:I34"/>
    <mergeCell ref="J34:M35"/>
    <mergeCell ref="B35:E35"/>
    <mergeCell ref="F35:I35"/>
    <mergeCell ref="A17:M17"/>
    <mergeCell ref="A19:A21"/>
    <mergeCell ref="B19:I19"/>
    <mergeCell ref="J19:M20"/>
    <mergeCell ref="B20:E20"/>
    <mergeCell ref="F20:I20"/>
    <mergeCell ref="A2:M2"/>
    <mergeCell ref="A4:A6"/>
    <mergeCell ref="B4:I4"/>
    <mergeCell ref="J4:M5"/>
    <mergeCell ref="B5:E5"/>
    <mergeCell ref="F5:I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281" scale="63" orientation="landscape" r:id="rId1"/>
  <rowBreaks count="1" manualBreakCount="1">
    <brk id="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1C36-4F91-4B40-ADE6-5E34DD80BC47}">
  <dimension ref="A1:BB268"/>
  <sheetViews>
    <sheetView showGridLines="0" zoomScale="90" zoomScaleNormal="90" zoomScaleSheetLayoutView="90" workbookViewId="0">
      <selection activeCell="D200" sqref="D200"/>
    </sheetView>
  </sheetViews>
  <sheetFormatPr baseColWidth="10" defaultRowHeight="15" x14ac:dyDescent="0.25"/>
  <cols>
    <col min="1" max="1" width="2" customWidth="1"/>
    <col min="2" max="2" width="9.28515625" style="1" hidden="1" customWidth="1"/>
    <col min="3" max="3" width="40.42578125" style="1" customWidth="1"/>
    <col min="4" max="5" width="13.42578125" customWidth="1"/>
    <col min="6" max="6" width="18.42578125" bestFit="1" customWidth="1"/>
    <col min="7" max="7" width="15.28515625" bestFit="1" customWidth="1"/>
    <col min="8" max="9" width="13.42578125" customWidth="1"/>
    <col min="10" max="10" width="18.42578125" bestFit="1" customWidth="1"/>
    <col min="11" max="11" width="14.140625" customWidth="1"/>
    <col min="12" max="13" width="13.42578125" customWidth="1"/>
    <col min="14" max="14" width="18.42578125" bestFit="1" customWidth="1"/>
    <col min="15" max="15" width="15.28515625" bestFit="1" customWidth="1"/>
    <col min="16" max="16" width="1.85546875" customWidth="1"/>
    <col min="17" max="17" width="19" customWidth="1"/>
    <col min="18" max="18" width="23.5703125" customWidth="1"/>
    <col min="19" max="19" width="13.5703125" customWidth="1"/>
    <col min="20" max="32" width="9.7109375" customWidth="1"/>
  </cols>
  <sheetData>
    <row r="1" spans="2:28" ht="45" x14ac:dyDescent="0.25">
      <c r="T1" s="115" t="s">
        <v>1017</v>
      </c>
      <c r="U1" cm="1">
        <f t="array" ref="U1:U40">IF(_xlfn._TRO_TRAILING($T:$T)=0,"n",_xlfn.XLOOKUP(_xlfn._TRO_TRAILING(S:S),L!C:C,L!H:H))</f>
        <v>0</v>
      </c>
      <c r="X1" s="116" t="s">
        <v>1018</v>
      </c>
      <c r="Y1" s="116">
        <f>+COUNTIF($U:$U,X1)</f>
        <v>21</v>
      </c>
      <c r="AA1" s="116" t="s">
        <v>1019</v>
      </c>
      <c r="AB1" s="116">
        <f>+Y1</f>
        <v>21</v>
      </c>
    </row>
    <row r="2" spans="2:28" ht="46.5" customHeight="1" x14ac:dyDescent="0.25">
      <c r="B2" s="117" t="s">
        <v>1020</v>
      </c>
      <c r="C2" s="117" t="s">
        <v>1021</v>
      </c>
      <c r="E2" s="117" t="s">
        <v>1022</v>
      </c>
      <c r="F2" s="118" t="s">
        <v>1023</v>
      </c>
      <c r="G2" s="118"/>
      <c r="H2" s="119" t="s">
        <v>1024</v>
      </c>
      <c r="I2" s="119" t="s">
        <v>1025</v>
      </c>
      <c r="J2" s="119" t="s">
        <v>1026</v>
      </c>
      <c r="K2" s="120" t="s">
        <v>1027</v>
      </c>
      <c r="L2" s="115"/>
      <c r="S2" cm="1">
        <f t="array" ref="S2:T40">_xlfn.GROUPBY(_xlfn._TRO_TRAILING(L!C:C),IF(_xlfn._TRO_TRAILING(L!AC:AC)="",0,1),_xleta.SUM,1)</f>
        <v>5667514</v>
      </c>
      <c r="T2">
        <v>7</v>
      </c>
      <c r="U2" t="str">
        <v>M</v>
      </c>
      <c r="X2" s="116" t="s">
        <v>654</v>
      </c>
      <c r="Y2" s="116">
        <f>+COUNTIF($U:$U,X2)</f>
        <v>17</v>
      </c>
      <c r="AA2" s="116" t="s">
        <v>1028</v>
      </c>
      <c r="AB2" s="116">
        <f>+Y2+Y3</f>
        <v>17</v>
      </c>
    </row>
    <row r="3" spans="2:28" ht="18" customHeight="1" x14ac:dyDescent="0.25">
      <c r="B3" s="117">
        <v>0</v>
      </c>
      <c r="C3" s="117" t="s">
        <v>1029</v>
      </c>
      <c r="E3" s="121" t="s">
        <v>1030</v>
      </c>
      <c r="F3" s="1" t="str">
        <f>CONCATENATE(E3,"_",$C$3)</f>
        <v>H_1_[hasta 3]</v>
      </c>
      <c r="G3" s="1"/>
      <c r="H3" s="1">
        <f>SUMIF(L!AC:AC,Datos!F3,L!T:T)</f>
        <v>16</v>
      </c>
      <c r="I3" s="1">
        <f>COUNTIF(L!AC:AC,Datos!F3)</f>
        <v>9</v>
      </c>
      <c r="J3" s="1">
        <f>SUMIF(L!AC:AC,Datos!F3,L!AD:AD)</f>
        <v>0</v>
      </c>
      <c r="K3" s="1">
        <f>COUNTIFS(L!AC:AC,F3,L!AD:AD,"&gt;0")</f>
        <v>0</v>
      </c>
      <c r="S3">
        <v>9023216</v>
      </c>
      <c r="T3">
        <v>1</v>
      </c>
      <c r="U3" t="str">
        <v>M</v>
      </c>
      <c r="X3" s="116" t="s">
        <v>1031</v>
      </c>
      <c r="Y3" s="116">
        <f>+COUNTIF($U:$U,X3)</f>
        <v>0</v>
      </c>
      <c r="AA3" s="116" t="s">
        <v>1127</v>
      </c>
      <c r="AB3" s="116">
        <f>SUM(AB1:AB2)</f>
        <v>38</v>
      </c>
    </row>
    <row r="4" spans="2:28" x14ac:dyDescent="0.25">
      <c r="B4" s="117">
        <v>4</v>
      </c>
      <c r="C4" s="117" t="s">
        <v>1032</v>
      </c>
      <c r="E4" s="121" t="s">
        <v>1033</v>
      </c>
      <c r="F4" s="1" t="str">
        <f t="shared" ref="F4:F32" si="0">CONCATENATE(E4,"_",$C$3)</f>
        <v>H_2_[hasta 3]</v>
      </c>
      <c r="G4" s="1"/>
      <c r="H4" s="1">
        <f>SUMIF(L!AC:AC,Datos!F4,L!T:T)</f>
        <v>0</v>
      </c>
      <c r="I4" s="1">
        <f>COUNTIF(L!AC:AC,Datos!F4)</f>
        <v>0</v>
      </c>
      <c r="J4" s="1">
        <f>SUMIF(L!AC:AC,Datos!F4,L!AD:AD)</f>
        <v>0</v>
      </c>
      <c r="K4" s="1">
        <f>COUNTIFS(L!AC:AC,F4,L!AD:AD,"&gt;0")</f>
        <v>0</v>
      </c>
      <c r="S4">
        <v>9765995</v>
      </c>
      <c r="T4">
        <v>2</v>
      </c>
      <c r="U4" t="str">
        <v>M</v>
      </c>
      <c r="X4" s="116" t="s">
        <v>1125</v>
      </c>
      <c r="Y4" s="116">
        <f>+COUNTIF($U:$U,X4)</f>
        <v>0</v>
      </c>
      <c r="AB4">
        <f>(AB3+Y4)-Y5</f>
        <v>0</v>
      </c>
    </row>
    <row r="5" spans="2:28" x14ac:dyDescent="0.25">
      <c r="B5" s="117">
        <v>11</v>
      </c>
      <c r="C5" s="117" t="s">
        <v>1034</v>
      </c>
      <c r="E5" s="121" t="s">
        <v>1035</v>
      </c>
      <c r="F5" s="1" t="str">
        <f t="shared" si="0"/>
        <v>H_3_[hasta 3]</v>
      </c>
      <c r="G5" s="1"/>
      <c r="H5" s="1">
        <f>SUMIF(L!AC:AC,Datos!F5,L!T:T)</f>
        <v>0</v>
      </c>
      <c r="I5" s="1">
        <f>COUNTIF(L!AC:AC,Datos!F5)</f>
        <v>0</v>
      </c>
      <c r="J5" s="1">
        <f>SUMIF(L!AC:AC,Datos!F5,L!AD:AD)</f>
        <v>0</v>
      </c>
      <c r="K5" s="1">
        <f>COUNTIFS(L!AC:AC,F5,L!AD:AD,"&gt;0")</f>
        <v>0</v>
      </c>
      <c r="S5">
        <v>10347784</v>
      </c>
      <c r="T5">
        <v>1</v>
      </c>
      <c r="U5" t="str">
        <v>H</v>
      </c>
      <c r="X5" s="116" t="s">
        <v>1126</v>
      </c>
      <c r="Y5" s="116">
        <f>SUM(Y1:Y4)</f>
        <v>38</v>
      </c>
    </row>
    <row r="6" spans="2:28" x14ac:dyDescent="0.25">
      <c r="B6" s="1">
        <v>400</v>
      </c>
      <c r="E6" s="121" t="s">
        <v>1036</v>
      </c>
      <c r="F6" s="1" t="str">
        <f t="shared" si="0"/>
        <v>H_4_[hasta 3]</v>
      </c>
      <c r="G6" s="1"/>
      <c r="H6" s="1">
        <f>SUMIF(L!AC:AC,Datos!F6,L!T:T)</f>
        <v>0</v>
      </c>
      <c r="I6" s="1">
        <f>COUNTIF(L!AC:AC,Datos!F6)</f>
        <v>0</v>
      </c>
      <c r="J6" s="1">
        <f>SUMIF(L!AC:AC,Datos!F6,L!AD:AD)</f>
        <v>0</v>
      </c>
      <c r="K6" s="1">
        <f>COUNTIFS(L!AC:AC,F6,L!AD:AD,"&gt;0")</f>
        <v>0</v>
      </c>
      <c r="S6">
        <v>10361279</v>
      </c>
      <c r="T6">
        <v>1</v>
      </c>
      <c r="U6" t="str">
        <v>H</v>
      </c>
    </row>
    <row r="7" spans="2:28" x14ac:dyDescent="0.25">
      <c r="E7" s="121" t="s">
        <v>1037</v>
      </c>
      <c r="F7" s="1" t="str">
        <f t="shared" si="0"/>
        <v>H_5A_[hasta 3]</v>
      </c>
      <c r="G7" s="1"/>
      <c r="H7" s="1">
        <f>SUMIF(L!AC:AC,Datos!F7,L!T:T)</f>
        <v>0</v>
      </c>
      <c r="I7" s="1">
        <f>COUNTIF(L!AC:AC,Datos!F7)</f>
        <v>0</v>
      </c>
      <c r="J7" s="1">
        <f>SUMIF(L!AC:AC,Datos!F7,L!AD:AD)</f>
        <v>0</v>
      </c>
      <c r="K7" s="1">
        <f>COUNTIFS(L!AC:AC,F7,L!AD:AD,"&gt;0")</f>
        <v>0</v>
      </c>
      <c r="S7">
        <v>10667993</v>
      </c>
      <c r="T7">
        <v>6</v>
      </c>
      <c r="U7" t="str">
        <v>M</v>
      </c>
    </row>
    <row r="8" spans="2:28" x14ac:dyDescent="0.25">
      <c r="E8" s="121" t="s">
        <v>1038</v>
      </c>
      <c r="F8" s="1" t="str">
        <f t="shared" si="0"/>
        <v>H_5B_[hasta 3]</v>
      </c>
      <c r="G8" s="1"/>
      <c r="H8" s="1">
        <f>SUMIF(L!AC:AC,Datos!F8,L!T:T)</f>
        <v>0</v>
      </c>
      <c r="I8" s="1">
        <f>COUNTIF(L!AC:AC,Datos!F8)</f>
        <v>0</v>
      </c>
      <c r="J8" s="1">
        <f>SUMIF(L!AC:AC,Datos!F8,L!AD:AD)</f>
        <v>0</v>
      </c>
      <c r="K8" s="1">
        <f>COUNTIFS(L!AC:AC,F8,L!AD:AD,"&gt;0")</f>
        <v>0</v>
      </c>
      <c r="S8">
        <v>13458012</v>
      </c>
      <c r="T8">
        <v>3</v>
      </c>
      <c r="U8" t="str">
        <v>M</v>
      </c>
    </row>
    <row r="9" spans="2:28" x14ac:dyDescent="0.25">
      <c r="B9" s="117" t="s">
        <v>1022</v>
      </c>
      <c r="C9" s="117" t="s">
        <v>1039</v>
      </c>
      <c r="E9" s="121" t="s">
        <v>1040</v>
      </c>
      <c r="F9" s="1" t="str">
        <f t="shared" si="0"/>
        <v>H_6A_[hasta 3]</v>
      </c>
      <c r="G9" s="1"/>
      <c r="H9" s="1">
        <f>SUMIF(L!AC:AC,Datos!F9,L!T:T)</f>
        <v>0</v>
      </c>
      <c r="I9" s="1">
        <f>COUNTIF(L!AC:AC,Datos!F9)</f>
        <v>0</v>
      </c>
      <c r="J9" s="1">
        <f>SUMIF(L!AC:AC,Datos!F9,L!AD:AD)</f>
        <v>0</v>
      </c>
      <c r="K9" s="1">
        <f>COUNTIFS(L!AC:AC,F9,L!AD:AD,"&gt;0")</f>
        <v>0</v>
      </c>
      <c r="S9">
        <v>13699151</v>
      </c>
      <c r="T9">
        <v>1</v>
      </c>
      <c r="U9" t="str">
        <v>M</v>
      </c>
    </row>
    <row r="10" spans="2:28" x14ac:dyDescent="0.25">
      <c r="B10" s="121" t="s">
        <v>1030</v>
      </c>
      <c r="C10" s="117" t="s">
        <v>1041</v>
      </c>
      <c r="E10" s="121" t="s">
        <v>1042</v>
      </c>
      <c r="F10" s="1" t="str">
        <f t="shared" si="0"/>
        <v>H_6B_[hasta 3]</v>
      </c>
      <c r="G10" s="1"/>
      <c r="H10" s="1">
        <f>SUMIF(L!AC:AC,Datos!F10,L!T:T)</f>
        <v>0</v>
      </c>
      <c r="I10" s="1">
        <f>COUNTIF(L!AC:AC,Datos!F10)</f>
        <v>0</v>
      </c>
      <c r="J10" s="1">
        <f>SUMIF(L!AC:AC,Datos!F10,L!AD:AD)</f>
        <v>0</v>
      </c>
      <c r="K10" s="1">
        <f>COUNTIFS(L!AC:AC,F10,L!AD:AD,"&gt;0")</f>
        <v>0</v>
      </c>
      <c r="S10">
        <v>14114992</v>
      </c>
      <c r="T10">
        <v>2</v>
      </c>
      <c r="U10" t="str">
        <v>M</v>
      </c>
    </row>
    <row r="11" spans="2:28" x14ac:dyDescent="0.25">
      <c r="B11" s="121" t="s">
        <v>1033</v>
      </c>
      <c r="C11" s="117" t="s">
        <v>1043</v>
      </c>
      <c r="E11" s="121" t="s">
        <v>1044</v>
      </c>
      <c r="F11" s="1" t="str">
        <f t="shared" si="0"/>
        <v>H_7_[hasta 3]</v>
      </c>
      <c r="G11" s="1"/>
      <c r="H11" s="1">
        <f>SUMIF(L!AC:AC,Datos!F11,L!T:T)</f>
        <v>0</v>
      </c>
      <c r="I11" s="1">
        <f>COUNTIF(L!AC:AC,Datos!F11)</f>
        <v>0</v>
      </c>
      <c r="J11" s="1">
        <f>SUMIF(L!AC:AC,Datos!F11,L!AD:AD)</f>
        <v>0</v>
      </c>
      <c r="K11" s="1">
        <f>COUNTIFS(L!AC:AC,F11,L!AD:AD,"&gt;0")</f>
        <v>0</v>
      </c>
      <c r="S11">
        <v>15246163</v>
      </c>
      <c r="T11">
        <v>2</v>
      </c>
      <c r="U11" t="str">
        <v>H</v>
      </c>
    </row>
    <row r="12" spans="2:28" x14ac:dyDescent="0.25">
      <c r="B12" s="121" t="s">
        <v>1035</v>
      </c>
      <c r="C12" s="117" t="s">
        <v>1045</v>
      </c>
      <c r="E12" s="121" t="s">
        <v>1046</v>
      </c>
      <c r="F12" s="1" t="str">
        <f t="shared" si="0"/>
        <v>H_8_[hasta 3]</v>
      </c>
      <c r="G12" s="1"/>
      <c r="H12" s="1">
        <f>SUMIF(L!AC:AC,Datos!F12,L!T:T)</f>
        <v>0</v>
      </c>
      <c r="I12" s="1">
        <f>COUNTIF(L!AC:AC,Datos!F12)</f>
        <v>0</v>
      </c>
      <c r="J12" s="1">
        <f>SUMIF(L!AC:AC,Datos!F12,L!AD:AD)</f>
        <v>0</v>
      </c>
      <c r="K12" s="1">
        <f>COUNTIFS(L!AC:AC,F12,L!AD:AD,"&gt;0")</f>
        <v>0</v>
      </c>
      <c r="S12">
        <v>15546119</v>
      </c>
      <c r="T12">
        <v>1</v>
      </c>
      <c r="U12" t="str">
        <v>H</v>
      </c>
    </row>
    <row r="13" spans="2:28" x14ac:dyDescent="0.25">
      <c r="B13" s="121" t="s">
        <v>1036</v>
      </c>
      <c r="C13" s="117" t="s">
        <v>1047</v>
      </c>
      <c r="E13" s="121" t="s">
        <v>1048</v>
      </c>
      <c r="F13" s="1" t="str">
        <f t="shared" si="0"/>
        <v>H_9_[hasta 3]</v>
      </c>
      <c r="G13" s="1"/>
      <c r="H13" s="1">
        <f>SUMIF(L!AC:AC,Datos!F13,L!T:T)</f>
        <v>0</v>
      </c>
      <c r="I13" s="1">
        <f>COUNTIF(L!AC:AC,Datos!F13)</f>
        <v>0</v>
      </c>
      <c r="J13" s="1">
        <f>SUMIF(L!AC:AC,Datos!F13,L!AD:AD)</f>
        <v>0</v>
      </c>
      <c r="K13" s="1">
        <f>COUNTIFS(L!AC:AC,F13,L!AD:AD,"&gt;0")</f>
        <v>0</v>
      </c>
      <c r="S13">
        <v>15805912</v>
      </c>
      <c r="T13">
        <v>1</v>
      </c>
      <c r="U13" t="str">
        <v>H</v>
      </c>
    </row>
    <row r="14" spans="2:28" x14ac:dyDescent="0.25">
      <c r="B14" s="121" t="s">
        <v>1037</v>
      </c>
      <c r="C14" s="117" t="s">
        <v>1049</v>
      </c>
      <c r="E14" s="121" t="s">
        <v>1050</v>
      </c>
      <c r="F14" s="1" t="str">
        <f t="shared" si="0"/>
        <v>H_10_[hasta 3]</v>
      </c>
      <c r="G14" s="1"/>
      <c r="H14" s="1">
        <f>SUMIF(L!AC:AC,Datos!F14,L!T:T)</f>
        <v>0</v>
      </c>
      <c r="I14" s="1">
        <f>COUNTIF(L!AC:AC,Datos!F14)</f>
        <v>0</v>
      </c>
      <c r="J14" s="1">
        <f>SUMIF(L!AC:AC,Datos!F14,L!AD:AD)</f>
        <v>0</v>
      </c>
      <c r="K14" s="1">
        <f>COUNTIFS(L!AC:AC,F14,L!AD:AD,"&gt;0")</f>
        <v>0</v>
      </c>
      <c r="S14">
        <v>15829824</v>
      </c>
      <c r="T14">
        <v>1</v>
      </c>
      <c r="U14" t="str">
        <v>H</v>
      </c>
    </row>
    <row r="15" spans="2:28" x14ac:dyDescent="0.25">
      <c r="B15" s="121" t="s">
        <v>1038</v>
      </c>
      <c r="C15" s="117" t="s">
        <v>1051</v>
      </c>
      <c r="E15" s="121" t="s">
        <v>1052</v>
      </c>
      <c r="F15" s="1" t="str">
        <f t="shared" si="0"/>
        <v>H_11_[hasta 3]</v>
      </c>
      <c r="G15" s="1"/>
      <c r="H15" s="1">
        <f>SUMIF(L!AC:AC,Datos!F15,L!T:T)</f>
        <v>0</v>
      </c>
      <c r="I15" s="1">
        <f>COUNTIF(L!AC:AC,Datos!F15)</f>
        <v>0</v>
      </c>
      <c r="J15" s="1">
        <f>SUMIF(L!AC:AC,Datos!F15,L!AD:AD)</f>
        <v>0</v>
      </c>
      <c r="K15" s="1">
        <f>COUNTIFS(L!AC:AC,F15,L!AD:AD,"&gt;0")</f>
        <v>0</v>
      </c>
      <c r="S15">
        <v>15842034</v>
      </c>
      <c r="T15">
        <v>1</v>
      </c>
      <c r="U15" t="str">
        <v>H</v>
      </c>
    </row>
    <row r="16" spans="2:28" x14ac:dyDescent="0.25">
      <c r="B16" s="121" t="s">
        <v>1040</v>
      </c>
      <c r="C16" s="117" t="s">
        <v>1053</v>
      </c>
      <c r="E16" s="121" t="s">
        <v>1054</v>
      </c>
      <c r="F16" s="1" t="str">
        <f t="shared" si="0"/>
        <v>H_12_[hasta 3]</v>
      </c>
      <c r="G16" s="1"/>
      <c r="H16" s="1">
        <f>SUMIF(L!AC:AC,Datos!F16,L!T:T)</f>
        <v>0</v>
      </c>
      <c r="I16" s="1">
        <f>COUNTIF(L!AC:AC,Datos!F16)</f>
        <v>0</v>
      </c>
      <c r="J16" s="1">
        <f>SUMIF(L!AC:AC,Datos!F16,L!AD:AD)</f>
        <v>0</v>
      </c>
      <c r="K16" s="1">
        <f>COUNTIFS(L!AC:AC,F16,L!AD:AD,"&gt;0")</f>
        <v>0</v>
      </c>
      <c r="S16">
        <v>16015859</v>
      </c>
      <c r="T16">
        <v>2</v>
      </c>
      <c r="U16" t="str">
        <v>M</v>
      </c>
    </row>
    <row r="17" spans="2:21" x14ac:dyDescent="0.25">
      <c r="B17" s="121" t="s">
        <v>1042</v>
      </c>
      <c r="C17" s="117" t="s">
        <v>1055</v>
      </c>
      <c r="E17" s="121" t="s">
        <v>1056</v>
      </c>
      <c r="F17" s="1" t="str">
        <f t="shared" si="0"/>
        <v>H_13_[hasta 3]</v>
      </c>
      <c r="G17" s="1"/>
      <c r="H17" s="1">
        <f>SUMIF(L!AC:AC,Datos!F17,L!T:T)</f>
        <v>0</v>
      </c>
      <c r="I17" s="1">
        <f>COUNTIF(L!AC:AC,Datos!F17)</f>
        <v>0</v>
      </c>
      <c r="J17" s="1">
        <f>SUMIF(L!AC:AC,Datos!F17,L!AD:AD)</f>
        <v>0</v>
      </c>
      <c r="K17" s="1">
        <f>COUNTIFS(L!AC:AC,F17,L!AD:AD,"&gt;0")</f>
        <v>0</v>
      </c>
      <c r="S17">
        <v>16150023</v>
      </c>
      <c r="T17">
        <v>2</v>
      </c>
      <c r="U17" t="str">
        <v>M</v>
      </c>
    </row>
    <row r="18" spans="2:21" x14ac:dyDescent="0.25">
      <c r="B18" s="121" t="s">
        <v>1044</v>
      </c>
      <c r="C18" s="117" t="s">
        <v>1057</v>
      </c>
      <c r="E18" s="122" t="s">
        <v>1058</v>
      </c>
      <c r="F18" s="1" t="str">
        <f t="shared" si="0"/>
        <v>M_1_[hasta 3]</v>
      </c>
      <c r="G18" s="1"/>
      <c r="H18" s="1">
        <f>SUMIF(L!AC:AC,Datos!F18,L!T:T)</f>
        <v>57</v>
      </c>
      <c r="I18" s="1">
        <f>COUNTIF(L!AC:AC,Datos!F18)</f>
        <v>27</v>
      </c>
      <c r="J18" s="1">
        <f>SUMIF(L!AC:AC,Datos!F18,L!AD:AD)</f>
        <v>0</v>
      </c>
      <c r="K18" s="1">
        <f>COUNTIFS(L!AC:AC,F18,L!AD:AD,"&gt;0")</f>
        <v>0</v>
      </c>
      <c r="S18">
        <v>16258421</v>
      </c>
      <c r="T18">
        <v>1</v>
      </c>
      <c r="U18" t="str">
        <v>M</v>
      </c>
    </row>
    <row r="19" spans="2:21" x14ac:dyDescent="0.25">
      <c r="B19" s="121" t="s">
        <v>1046</v>
      </c>
      <c r="C19" s="117" t="s">
        <v>1059</v>
      </c>
      <c r="E19" s="122" t="s">
        <v>1060</v>
      </c>
      <c r="F19" s="1" t="str">
        <f t="shared" si="0"/>
        <v>M_2_[hasta 3]</v>
      </c>
      <c r="G19" s="1"/>
      <c r="H19" s="1">
        <f>SUMIF(L!AC:AC,Datos!F19,L!T:T)</f>
        <v>0</v>
      </c>
      <c r="I19" s="1">
        <f>COUNTIF(L!AC:AC,Datos!F19)</f>
        <v>0</v>
      </c>
      <c r="J19" s="1">
        <f>SUMIF(L!AC:AC,Datos!F19,L!AD:AD)</f>
        <v>0</v>
      </c>
      <c r="K19" s="1">
        <f>COUNTIFS(L!AC:AC,F19,L!AD:AD,"&gt;0")</f>
        <v>0</v>
      </c>
      <c r="S19">
        <v>16410183</v>
      </c>
      <c r="T19">
        <v>4</v>
      </c>
      <c r="U19" t="str">
        <v>M</v>
      </c>
    </row>
    <row r="20" spans="2:21" x14ac:dyDescent="0.25">
      <c r="B20" s="121" t="s">
        <v>1048</v>
      </c>
      <c r="C20" s="117" t="s">
        <v>1061</v>
      </c>
      <c r="E20" s="122" t="s">
        <v>1062</v>
      </c>
      <c r="F20" s="1" t="str">
        <f t="shared" si="0"/>
        <v>M_3_[hasta 3]</v>
      </c>
      <c r="G20" s="1"/>
      <c r="H20" s="1">
        <f>SUMIF(L!AC:AC,Datos!F20,L!T:T)</f>
        <v>0</v>
      </c>
      <c r="I20" s="1">
        <f>COUNTIF(L!AC:AC,Datos!F20)</f>
        <v>0</v>
      </c>
      <c r="J20" s="1">
        <f>SUMIF(L!AC:AC,Datos!F20,L!AD:AD)</f>
        <v>0</v>
      </c>
      <c r="K20" s="1">
        <f>COUNTIFS(L!AC:AC,F20,L!AD:AD,"&gt;0")</f>
        <v>0</v>
      </c>
      <c r="S20">
        <v>16558770</v>
      </c>
      <c r="T20">
        <v>1</v>
      </c>
      <c r="U20" t="str">
        <v>M</v>
      </c>
    </row>
    <row r="21" spans="2:21" x14ac:dyDescent="0.25">
      <c r="B21" s="121" t="s">
        <v>1050</v>
      </c>
      <c r="C21" s="117" t="s">
        <v>1063</v>
      </c>
      <c r="E21" s="122" t="s">
        <v>1064</v>
      </c>
      <c r="F21" s="1" t="str">
        <f t="shared" si="0"/>
        <v>M_4_[hasta 3]</v>
      </c>
      <c r="G21" s="1"/>
      <c r="H21" s="1">
        <f>SUMIF(L!AC:AC,Datos!F21,L!T:T)</f>
        <v>0</v>
      </c>
      <c r="I21" s="1">
        <f>COUNTIF(L!AC:AC,Datos!F21)</f>
        <v>0</v>
      </c>
      <c r="J21" s="1">
        <f>SUMIF(L!AC:AC,Datos!F21,L!AD:AD)</f>
        <v>0</v>
      </c>
      <c r="K21" s="1">
        <f>COUNTIFS(L!AC:AC,F21,L!AD:AD,"&gt;0")</f>
        <v>0</v>
      </c>
      <c r="S21">
        <v>16561661</v>
      </c>
      <c r="T21">
        <v>1</v>
      </c>
      <c r="U21" t="str">
        <v>M</v>
      </c>
    </row>
    <row r="22" spans="2:21" x14ac:dyDescent="0.25">
      <c r="B22" s="121" t="s">
        <v>1052</v>
      </c>
      <c r="C22" s="117" t="s">
        <v>1065</v>
      </c>
      <c r="E22" s="122" t="s">
        <v>1066</v>
      </c>
      <c r="F22" s="1" t="str">
        <f t="shared" si="0"/>
        <v>M_5A_[hasta 3]</v>
      </c>
      <c r="G22" s="1"/>
      <c r="H22" s="1">
        <f>SUMIF(L!AC:AC,Datos!F22,L!T:T)</f>
        <v>0</v>
      </c>
      <c r="I22" s="1">
        <f>COUNTIF(L!AC:AC,Datos!F22)</f>
        <v>0</v>
      </c>
      <c r="J22" s="1">
        <f>SUMIF(L!AC:AC,Datos!F22,L!AD:AD)</f>
        <v>0</v>
      </c>
      <c r="K22" s="1">
        <f>COUNTIFS(L!AC:AC,F22,L!AD:AD,"&gt;0")</f>
        <v>0</v>
      </c>
      <c r="S22">
        <v>16567276</v>
      </c>
      <c r="T22">
        <v>2</v>
      </c>
      <c r="U22" t="str">
        <v>H</v>
      </c>
    </row>
    <row r="23" spans="2:21" x14ac:dyDescent="0.25">
      <c r="B23" s="121" t="s">
        <v>1054</v>
      </c>
      <c r="C23" s="117" t="s">
        <v>1067</v>
      </c>
      <c r="E23" s="122" t="s">
        <v>1068</v>
      </c>
      <c r="F23" s="1" t="str">
        <f t="shared" si="0"/>
        <v>M_5B_[hasta 3]</v>
      </c>
      <c r="G23" s="1"/>
      <c r="H23" s="1">
        <f>SUMIF(L!AC:AC,Datos!F23,L!T:T)</f>
        <v>0</v>
      </c>
      <c r="I23" s="1">
        <f>COUNTIF(L!AC:AC,Datos!F23)</f>
        <v>0</v>
      </c>
      <c r="J23" s="1">
        <f>SUMIF(L!AC:AC,Datos!F23,L!AD:AD)</f>
        <v>0</v>
      </c>
      <c r="K23" s="1">
        <f>COUNTIFS(L!AC:AC,F23,L!AD:AD,"&gt;0")</f>
        <v>0</v>
      </c>
      <c r="S23">
        <v>16939015</v>
      </c>
      <c r="T23">
        <v>1</v>
      </c>
      <c r="U23" t="str">
        <v>H</v>
      </c>
    </row>
    <row r="24" spans="2:21" x14ac:dyDescent="0.25">
      <c r="B24" s="121" t="s">
        <v>1056</v>
      </c>
      <c r="C24" s="117" t="s">
        <v>1069</v>
      </c>
      <c r="E24" s="122" t="s">
        <v>1070</v>
      </c>
      <c r="F24" s="1" t="str">
        <f t="shared" si="0"/>
        <v>M_6A_[hasta 3]</v>
      </c>
      <c r="G24" s="1"/>
      <c r="H24" s="1">
        <f>SUMIF(L!AC:AC,Datos!F24,L!T:T)</f>
        <v>0</v>
      </c>
      <c r="I24" s="1">
        <f>COUNTIF(L!AC:AC,Datos!F24)</f>
        <v>0</v>
      </c>
      <c r="J24" s="1">
        <f>SUMIF(L!AC:AC,Datos!F24,L!AD:AD)</f>
        <v>0</v>
      </c>
      <c r="K24" s="1">
        <f>COUNTIFS(L!AC:AC,F24,L!AD:AD,"&gt;0")</f>
        <v>0</v>
      </c>
      <c r="S24">
        <v>17009878</v>
      </c>
      <c r="T24">
        <v>1</v>
      </c>
      <c r="U24" t="str">
        <v>M</v>
      </c>
    </row>
    <row r="25" spans="2:21" x14ac:dyDescent="0.25">
      <c r="B25" s="122" t="s">
        <v>1058</v>
      </c>
      <c r="C25" s="117" t="s">
        <v>1071</v>
      </c>
      <c r="E25" s="122" t="s">
        <v>1072</v>
      </c>
      <c r="F25" s="1" t="str">
        <f t="shared" si="0"/>
        <v>M_6B_[hasta 3]</v>
      </c>
      <c r="G25" s="1"/>
      <c r="H25" s="1">
        <f>SUMIF(L!AC:AC,Datos!F25,L!T:T)</f>
        <v>3</v>
      </c>
      <c r="I25" s="1">
        <f>COUNTIF(L!AC:AC,Datos!F25)</f>
        <v>1</v>
      </c>
      <c r="J25" s="1">
        <f>SUMIF(L!AC:AC,Datos!F25,L!AD:AD)</f>
        <v>267468</v>
      </c>
      <c r="K25" s="1">
        <f>COUNTIFS(L!AC:AC,F25,L!AD:AD,"&gt;0")</f>
        <v>1</v>
      </c>
      <c r="S25">
        <v>17266500</v>
      </c>
      <c r="T25">
        <v>2</v>
      </c>
      <c r="U25" t="str">
        <v>M</v>
      </c>
    </row>
    <row r="26" spans="2:21" x14ac:dyDescent="0.25">
      <c r="B26" s="122" t="s">
        <v>1060</v>
      </c>
      <c r="C26" s="117" t="s">
        <v>1073</v>
      </c>
      <c r="E26" s="122" t="s">
        <v>1074</v>
      </c>
      <c r="F26" s="1" t="str">
        <f t="shared" si="0"/>
        <v>M_7_[hasta 3]</v>
      </c>
      <c r="G26" s="1"/>
      <c r="H26" s="1">
        <f>SUMIF(L!AC:AC,Datos!F26,L!T:T)</f>
        <v>0</v>
      </c>
      <c r="I26" s="1">
        <f>COUNTIF(L!AC:AC,Datos!F26)</f>
        <v>0</v>
      </c>
      <c r="J26" s="1">
        <f>SUMIF(L!AC:AC,Datos!F26,L!AD:AD)</f>
        <v>0</v>
      </c>
      <c r="K26" s="1">
        <f>COUNTIFS(L!AC:AC,F26,L!AD:AD,"&gt;0")</f>
        <v>0</v>
      </c>
      <c r="S26">
        <v>17379482</v>
      </c>
      <c r="T26">
        <v>1</v>
      </c>
      <c r="U26" t="str">
        <v>H</v>
      </c>
    </row>
    <row r="27" spans="2:21" x14ac:dyDescent="0.25">
      <c r="B27" s="122" t="s">
        <v>1062</v>
      </c>
      <c r="C27" s="117" t="s">
        <v>1075</v>
      </c>
      <c r="E27" s="122" t="s">
        <v>1076</v>
      </c>
      <c r="F27" s="1" t="str">
        <f t="shared" si="0"/>
        <v>M_8_[hasta 3]</v>
      </c>
      <c r="G27" s="1"/>
      <c r="H27" s="1">
        <f>SUMIF(L!AC:AC,Datos!F27,L!T:T)</f>
        <v>0</v>
      </c>
      <c r="I27" s="1">
        <f>COUNTIF(L!AC:AC,Datos!F27)</f>
        <v>0</v>
      </c>
      <c r="J27" s="1">
        <f>SUMIF(L!AC:AC,Datos!F27,L!AD:AD)</f>
        <v>0</v>
      </c>
      <c r="K27" s="1">
        <f>COUNTIFS(L!AC:AC,F27,L!AD:AD,"&gt;0")</f>
        <v>0</v>
      </c>
      <c r="S27">
        <v>17413900</v>
      </c>
      <c r="T27">
        <v>7</v>
      </c>
      <c r="U27" t="str">
        <v>M</v>
      </c>
    </row>
    <row r="28" spans="2:21" x14ac:dyDescent="0.25">
      <c r="B28" s="122" t="s">
        <v>1064</v>
      </c>
      <c r="C28" s="117" t="s">
        <v>1077</v>
      </c>
      <c r="E28" s="122" t="s">
        <v>1078</v>
      </c>
      <c r="F28" s="1" t="str">
        <f t="shared" si="0"/>
        <v>M_9_[hasta 3]</v>
      </c>
      <c r="G28" s="1"/>
      <c r="H28" s="1">
        <f>SUMIF(L!AC:AC,Datos!F28,L!T:T)</f>
        <v>0</v>
      </c>
      <c r="I28" s="1">
        <f>COUNTIF(L!AC:AC,Datos!F28)</f>
        <v>0</v>
      </c>
      <c r="J28" s="1">
        <f>SUMIF(L!AC:AC,Datos!F28,L!AD:AD)</f>
        <v>0</v>
      </c>
      <c r="K28" s="1">
        <f>COUNTIFS(L!AC:AC,F28,L!AD:AD,"&gt;0")</f>
        <v>0</v>
      </c>
      <c r="S28">
        <v>17671936</v>
      </c>
      <c r="T28">
        <v>1</v>
      </c>
      <c r="U28" t="str">
        <v>M</v>
      </c>
    </row>
    <row r="29" spans="2:21" x14ac:dyDescent="0.25">
      <c r="B29" s="122" t="s">
        <v>1066</v>
      </c>
      <c r="C29" s="117" t="s">
        <v>1079</v>
      </c>
      <c r="E29" s="122" t="s">
        <v>1080</v>
      </c>
      <c r="F29" s="1" t="str">
        <f t="shared" si="0"/>
        <v>M_10_[hasta 3]</v>
      </c>
      <c r="G29" s="1"/>
      <c r="H29" s="1">
        <f>SUMIF(L!AC:AC,Datos!F29,L!T:T)</f>
        <v>0</v>
      </c>
      <c r="I29" s="1">
        <f>COUNTIF(L!AC:AC,Datos!F29)</f>
        <v>0</v>
      </c>
      <c r="J29" s="1">
        <f>SUMIF(L!AC:AC,Datos!F29,L!AD:AD)</f>
        <v>0</v>
      </c>
      <c r="K29" s="1">
        <f>COUNTIFS(L!AC:AC,F29,L!AD:AD,"&gt;0")</f>
        <v>0</v>
      </c>
      <c r="S29">
        <v>17789196</v>
      </c>
      <c r="T29">
        <v>1</v>
      </c>
      <c r="U29" t="str">
        <v>H</v>
      </c>
    </row>
    <row r="30" spans="2:21" x14ac:dyDescent="0.25">
      <c r="B30" s="122" t="s">
        <v>1068</v>
      </c>
      <c r="C30" s="117" t="s">
        <v>1081</v>
      </c>
      <c r="E30" s="122" t="s">
        <v>1082</v>
      </c>
      <c r="F30" s="1" t="str">
        <f t="shared" si="0"/>
        <v>M_11_[hasta 3]</v>
      </c>
      <c r="G30" s="1"/>
      <c r="H30" s="1">
        <f>SUMIF(L!AC:AC,Datos!F30,L!T:T)</f>
        <v>0</v>
      </c>
      <c r="I30" s="1">
        <f>COUNTIF(L!AC:AC,Datos!F30)</f>
        <v>0</v>
      </c>
      <c r="J30" s="1">
        <f>SUMIF(L!AC:AC,Datos!F30,L!AD:AD)</f>
        <v>0</v>
      </c>
      <c r="K30" s="1">
        <f>COUNTIFS(L!AC:AC,F30,L!AD:AD,"&gt;0")</f>
        <v>0</v>
      </c>
      <c r="S30">
        <v>18328984</v>
      </c>
      <c r="T30">
        <v>4</v>
      </c>
      <c r="U30" t="str">
        <v>H</v>
      </c>
    </row>
    <row r="31" spans="2:21" x14ac:dyDescent="0.25">
      <c r="B31" s="122" t="s">
        <v>1070</v>
      </c>
      <c r="C31" s="117" t="s">
        <v>1083</v>
      </c>
      <c r="E31" s="122" t="s">
        <v>1084</v>
      </c>
      <c r="F31" s="1" t="str">
        <f t="shared" si="0"/>
        <v>M_12_[hasta 3]</v>
      </c>
      <c r="G31" s="1"/>
      <c r="H31" s="1">
        <f>SUMIF(L!AC:AC,Datos!F31,L!T:T)</f>
        <v>0</v>
      </c>
      <c r="I31" s="1">
        <f>COUNTIF(L!AC:AC,Datos!F31)</f>
        <v>0</v>
      </c>
      <c r="J31" s="1">
        <f>SUMIF(L!AC:AC,Datos!F31,L!AD:AD)</f>
        <v>0</v>
      </c>
      <c r="K31" s="1">
        <f>COUNTIFS(L!AC:AC,F31,L!AD:AD,"&gt;0")</f>
        <v>0</v>
      </c>
      <c r="S31">
        <v>18357668</v>
      </c>
      <c r="T31">
        <v>4</v>
      </c>
      <c r="U31" t="str">
        <v>M</v>
      </c>
    </row>
    <row r="32" spans="2:21" x14ac:dyDescent="0.25">
      <c r="B32" s="122" t="s">
        <v>1072</v>
      </c>
      <c r="C32" s="117" t="s">
        <v>1085</v>
      </c>
      <c r="E32" s="122" t="s">
        <v>1086</v>
      </c>
      <c r="F32" s="1" t="str">
        <f t="shared" si="0"/>
        <v>M_13_[hasta 3]</v>
      </c>
      <c r="G32" s="1"/>
      <c r="H32" s="1">
        <f>SUMIF(L!AC:AC,Datos!F32,L!T:T)</f>
        <v>0</v>
      </c>
      <c r="I32" s="1">
        <f>COUNTIF(L!AC:AC,Datos!F32)</f>
        <v>0</v>
      </c>
      <c r="J32" s="1">
        <f>SUMIF(L!AC:AC,Datos!F32,L!AD:AD)</f>
        <v>0</v>
      </c>
      <c r="K32" s="1">
        <f>COUNTIFS(L!AC:AC,F32,L!AD:AD,"&gt;0")</f>
        <v>0</v>
      </c>
      <c r="S32">
        <v>18540744</v>
      </c>
      <c r="T32">
        <v>1</v>
      </c>
      <c r="U32" t="str">
        <v>H</v>
      </c>
    </row>
    <row r="33" spans="2:21" x14ac:dyDescent="0.25">
      <c r="B33" s="122" t="s">
        <v>1074</v>
      </c>
      <c r="C33" s="117" t="s">
        <v>1087</v>
      </c>
      <c r="E33" s="121" t="s">
        <v>1030</v>
      </c>
      <c r="F33" s="1" t="str">
        <f>CONCATENATE(E33,"_",$C$4)</f>
        <v>H_1_[4 a 10]</v>
      </c>
      <c r="G33" s="1"/>
      <c r="H33" s="1">
        <f>SUMIF(L!AC:AC,Datos!F33,L!T:T)</f>
        <v>14</v>
      </c>
      <c r="I33" s="1">
        <f>COUNTIF(L!AC:AC,Datos!F33)</f>
        <v>3</v>
      </c>
      <c r="J33" s="1">
        <f>SUMIF(L!AC:AC,Datos!F33,L!AD:AD)</f>
        <v>0</v>
      </c>
      <c r="K33" s="1">
        <f>COUNTIFS(L!AC:AC,F33,L!AD:AD,"&gt;0")</f>
        <v>0</v>
      </c>
      <c r="S33">
        <v>18799796</v>
      </c>
      <c r="T33">
        <v>3</v>
      </c>
      <c r="U33" t="str">
        <v>M</v>
      </c>
    </row>
    <row r="34" spans="2:21" x14ac:dyDescent="0.25">
      <c r="B34" s="122" t="s">
        <v>1076</v>
      </c>
      <c r="C34" s="117" t="s">
        <v>1088</v>
      </c>
      <c r="E34" s="121" t="s">
        <v>1033</v>
      </c>
      <c r="F34" s="1" t="str">
        <f t="shared" ref="F34:F62" si="1">CONCATENATE(E34,"_",$C$4)</f>
        <v>H_2_[4 a 10]</v>
      </c>
      <c r="G34" s="1"/>
      <c r="H34" s="1">
        <f>SUMIF(L!AC:AC,Datos!F34,L!T:T)</f>
        <v>0</v>
      </c>
      <c r="I34" s="1">
        <f>COUNTIF(L!AC:AC,Datos!F34)</f>
        <v>0</v>
      </c>
      <c r="J34" s="1">
        <f>SUMIF(L!AC:AC,Datos!F34,L!AD:AD)</f>
        <v>0</v>
      </c>
      <c r="K34" s="1">
        <f>COUNTIFS(L!AC:AC,F34,L!AD:AD,"&gt;0")</f>
        <v>0</v>
      </c>
      <c r="S34">
        <v>19361760</v>
      </c>
      <c r="T34">
        <v>6</v>
      </c>
      <c r="U34" t="str">
        <v>M</v>
      </c>
    </row>
    <row r="35" spans="2:21" x14ac:dyDescent="0.25">
      <c r="B35" s="122" t="s">
        <v>1078</v>
      </c>
      <c r="C35" s="117" t="s">
        <v>1089</v>
      </c>
      <c r="E35" s="121" t="s">
        <v>1035</v>
      </c>
      <c r="F35" s="1" t="str">
        <f t="shared" si="1"/>
        <v>H_3_[4 a 10]</v>
      </c>
      <c r="G35" s="1"/>
      <c r="H35" s="1">
        <f>SUMIF(L!AC:AC,Datos!F35,L!T:T)</f>
        <v>0</v>
      </c>
      <c r="I35" s="1">
        <f>COUNTIF(L!AC:AC,Datos!F35)</f>
        <v>0</v>
      </c>
      <c r="J35" s="1">
        <f>SUMIF(L!AC:AC,Datos!F35,L!AD:AD)</f>
        <v>0</v>
      </c>
      <c r="K35" s="1">
        <f>COUNTIFS(L!AC:AC,F35,L!AD:AD,"&gt;0")</f>
        <v>0</v>
      </c>
      <c r="S35">
        <v>19706684</v>
      </c>
      <c r="T35">
        <v>2</v>
      </c>
      <c r="U35" t="str">
        <v>H</v>
      </c>
    </row>
    <row r="36" spans="2:21" x14ac:dyDescent="0.25">
      <c r="B36" s="122" t="s">
        <v>1080</v>
      </c>
      <c r="C36" s="117" t="s">
        <v>1090</v>
      </c>
      <c r="E36" s="121" t="s">
        <v>1036</v>
      </c>
      <c r="F36" s="1" t="str">
        <f t="shared" si="1"/>
        <v>H_4_[4 a 10]</v>
      </c>
      <c r="G36" s="1"/>
      <c r="H36" s="1">
        <f>SUMIF(L!AC:AC,Datos!F36,L!T:T)</f>
        <v>0</v>
      </c>
      <c r="I36" s="1">
        <f>COUNTIF(L!AC:AC,Datos!F36)</f>
        <v>0</v>
      </c>
      <c r="J36" s="1">
        <f>SUMIF(L!AC:AC,Datos!F36,L!AD:AD)</f>
        <v>0</v>
      </c>
      <c r="K36" s="1">
        <f>COUNTIFS(L!AC:AC,F36,L!AD:AD,"&gt;0")</f>
        <v>0</v>
      </c>
      <c r="S36">
        <v>19879616</v>
      </c>
      <c r="T36">
        <v>1</v>
      </c>
      <c r="U36" t="str">
        <v>H</v>
      </c>
    </row>
    <row r="37" spans="2:21" x14ac:dyDescent="0.25">
      <c r="B37" s="122" t="s">
        <v>1082</v>
      </c>
      <c r="C37" s="117" t="s">
        <v>1091</v>
      </c>
      <c r="E37" s="121" t="s">
        <v>1037</v>
      </c>
      <c r="F37" s="1" t="str">
        <f t="shared" si="1"/>
        <v>H_5A_[4 a 10]</v>
      </c>
      <c r="G37" s="1"/>
      <c r="H37" s="1">
        <f>SUMIF(L!AC:AC,Datos!F37,L!T:T)</f>
        <v>0</v>
      </c>
      <c r="I37" s="1">
        <f>COUNTIF(L!AC:AC,Datos!F37)</f>
        <v>0</v>
      </c>
      <c r="J37" s="1">
        <f>SUMIF(L!AC:AC,Datos!F37,L!AD:AD)</f>
        <v>0</v>
      </c>
      <c r="K37" s="1">
        <f>COUNTIFS(L!AC:AC,F37,L!AD:AD,"&gt;0")</f>
        <v>0</v>
      </c>
      <c r="S37">
        <v>20055823</v>
      </c>
      <c r="T37">
        <v>3</v>
      </c>
      <c r="U37" t="str">
        <v>M</v>
      </c>
    </row>
    <row r="38" spans="2:21" x14ac:dyDescent="0.25">
      <c r="B38" s="122" t="s">
        <v>1084</v>
      </c>
      <c r="C38" s="117" t="s">
        <v>1092</v>
      </c>
      <c r="E38" s="121" t="s">
        <v>1038</v>
      </c>
      <c r="F38" s="1" t="str">
        <f t="shared" si="1"/>
        <v>H_5B_[4 a 10]</v>
      </c>
      <c r="G38" s="1"/>
      <c r="H38" s="1">
        <f>SUMIF(L!AC:AC,Datos!F38,L!T:T)</f>
        <v>8</v>
      </c>
      <c r="I38" s="1">
        <f>COUNTIF(L!AC:AC,Datos!F38)</f>
        <v>1</v>
      </c>
      <c r="J38" s="1">
        <f>SUMIF(L!AC:AC,Datos!F38,L!AD:AD)</f>
        <v>0</v>
      </c>
      <c r="K38" s="1">
        <f>COUNTIFS(L!AC:AC,F38,L!AD:AD,"&gt;0")</f>
        <v>0</v>
      </c>
      <c r="S38">
        <v>20099565</v>
      </c>
      <c r="T38">
        <v>1</v>
      </c>
      <c r="U38" t="str">
        <v>H</v>
      </c>
    </row>
    <row r="39" spans="2:21" x14ac:dyDescent="0.25">
      <c r="B39" s="122" t="s">
        <v>1086</v>
      </c>
      <c r="C39" s="117" t="s">
        <v>1093</v>
      </c>
      <c r="E39" s="121" t="s">
        <v>1040</v>
      </c>
      <c r="F39" s="1" t="str">
        <f t="shared" si="1"/>
        <v>H_6A_[4 a 10]</v>
      </c>
      <c r="G39" s="1"/>
      <c r="H39" s="1">
        <f>SUMIF(L!AC:AC,Datos!F39,L!T:T)</f>
        <v>0</v>
      </c>
      <c r="I39" s="1">
        <f>COUNTIF(L!AC:AC,Datos!F39)</f>
        <v>0</v>
      </c>
      <c r="J39" s="1">
        <f>SUMIF(L!AC:AC,Datos!F39,L!AD:AD)</f>
        <v>0</v>
      </c>
      <c r="K39" s="1">
        <f>COUNTIFS(L!AC:AC,F39,L!AD:AD,"&gt;0")</f>
        <v>0</v>
      </c>
      <c r="S39">
        <v>20191395</v>
      </c>
      <c r="T39">
        <v>1</v>
      </c>
      <c r="U39" t="str">
        <v>H</v>
      </c>
    </row>
    <row r="40" spans="2:21" x14ac:dyDescent="0.25">
      <c r="E40" s="121" t="s">
        <v>1042</v>
      </c>
      <c r="F40" s="1" t="str">
        <f t="shared" si="1"/>
        <v>H_6B_[4 a 10]</v>
      </c>
      <c r="G40" s="1"/>
      <c r="H40" s="1">
        <f>SUMIF(L!AC:AC,Datos!F40,L!T:T)</f>
        <v>0</v>
      </c>
      <c r="I40" s="1">
        <f>COUNTIF(L!AC:AC,Datos!F40)</f>
        <v>0</v>
      </c>
      <c r="J40" s="1">
        <f>SUMIF(L!AC:AC,Datos!F40,L!AD:AD)</f>
        <v>0</v>
      </c>
      <c r="K40" s="1">
        <f>COUNTIFS(L!AC:AC,F40,L!AD:AD,"&gt;0")</f>
        <v>0</v>
      </c>
      <c r="S40" t="str">
        <v>Total</v>
      </c>
      <c r="T40">
        <v>83</v>
      </c>
      <c r="U40" t="e">
        <v>#N/A</v>
      </c>
    </row>
    <row r="41" spans="2:21" x14ac:dyDescent="0.25">
      <c r="E41" s="121" t="s">
        <v>1044</v>
      </c>
      <c r="F41" s="1" t="str">
        <f t="shared" si="1"/>
        <v>H_7_[4 a 10]</v>
      </c>
      <c r="G41" s="1"/>
      <c r="H41" s="1">
        <f>SUMIF(L!AC:AC,Datos!F41,L!T:T)</f>
        <v>0</v>
      </c>
      <c r="I41" s="1">
        <f>COUNTIF(L!AC:AC,Datos!F41)</f>
        <v>0</v>
      </c>
      <c r="J41" s="1">
        <f>SUMIF(L!AC:AC,Datos!F41,L!AD:AD)</f>
        <v>0</v>
      </c>
      <c r="K41" s="1">
        <f>COUNTIFS(L!AC:AC,F41,L!AD:AD,"&gt;0")</f>
        <v>0</v>
      </c>
    </row>
    <row r="42" spans="2:21" x14ac:dyDescent="0.25">
      <c r="E42" s="121" t="s">
        <v>1046</v>
      </c>
      <c r="F42" s="1" t="str">
        <f t="shared" si="1"/>
        <v>H_8_[4 a 10]</v>
      </c>
      <c r="G42" s="1"/>
      <c r="H42" s="1">
        <f>SUMIF(L!AC:AC,Datos!F42,L!T:T)</f>
        <v>0</v>
      </c>
      <c r="I42" s="1">
        <f>COUNTIF(L!AC:AC,Datos!F42)</f>
        <v>0</v>
      </c>
      <c r="J42" s="1">
        <f>SUMIF(L!AC:AC,Datos!F42,L!AD:AD)</f>
        <v>0</v>
      </c>
      <c r="K42" s="1">
        <f>COUNTIFS(L!AC:AC,F42,L!AD:AD,"&gt;0")</f>
        <v>0</v>
      </c>
    </row>
    <row r="43" spans="2:21" x14ac:dyDescent="0.25">
      <c r="E43" s="121" t="s">
        <v>1048</v>
      </c>
      <c r="F43" s="1" t="str">
        <f t="shared" si="1"/>
        <v>H_9_[4 a 10]</v>
      </c>
      <c r="G43" s="1"/>
      <c r="H43" s="1">
        <f>SUMIF(L!AC:AC,Datos!F43,L!T:T)</f>
        <v>0</v>
      </c>
      <c r="I43" s="1">
        <f>COUNTIF(L!AC:AC,Datos!F43)</f>
        <v>0</v>
      </c>
      <c r="J43" s="1">
        <f>SUMIF(L!AC:AC,Datos!F43,L!AD:AD)</f>
        <v>0</v>
      </c>
      <c r="K43" s="1">
        <f>COUNTIFS(L!AC:AC,F43,L!AD:AD,"&gt;0")</f>
        <v>0</v>
      </c>
    </row>
    <row r="44" spans="2:21" x14ac:dyDescent="0.25">
      <c r="E44" s="121" t="s">
        <v>1050</v>
      </c>
      <c r="F44" s="1" t="str">
        <f t="shared" si="1"/>
        <v>H_10_[4 a 10]</v>
      </c>
      <c r="G44" s="1"/>
      <c r="H44" s="1">
        <f>SUMIF(L!AC:AC,Datos!F44,L!T:T)</f>
        <v>0</v>
      </c>
      <c r="I44" s="1">
        <f>COUNTIF(L!AC:AC,Datos!F44)</f>
        <v>0</v>
      </c>
      <c r="J44" s="1">
        <f>SUMIF(L!AC:AC,Datos!F44,L!AD:AD)</f>
        <v>0</v>
      </c>
      <c r="K44" s="1">
        <f>COUNTIFS(L!AC:AC,F44,L!AD:AD,"&gt;0")</f>
        <v>0</v>
      </c>
    </row>
    <row r="45" spans="2:21" x14ac:dyDescent="0.25">
      <c r="E45" s="121" t="s">
        <v>1052</v>
      </c>
      <c r="F45" s="1" t="str">
        <f t="shared" si="1"/>
        <v>H_11_[4 a 10]</v>
      </c>
      <c r="G45" s="1"/>
      <c r="H45" s="1">
        <f>SUMIF(L!AC:AC,Datos!F45,L!T:T)</f>
        <v>0</v>
      </c>
      <c r="I45" s="1">
        <f>COUNTIF(L!AC:AC,Datos!F45)</f>
        <v>0</v>
      </c>
      <c r="J45" s="1">
        <f>SUMIF(L!AC:AC,Datos!F45,L!AD:AD)</f>
        <v>0</v>
      </c>
      <c r="K45" s="1">
        <f>COUNTIFS(L!AC:AC,F45,L!AD:AD,"&gt;0")</f>
        <v>0</v>
      </c>
    </row>
    <row r="46" spans="2:21" x14ac:dyDescent="0.25">
      <c r="B46" s="1" t="s">
        <v>1094</v>
      </c>
      <c r="E46" s="121" t="s">
        <v>1054</v>
      </c>
      <c r="F46" s="1" t="str">
        <f t="shared" si="1"/>
        <v>H_12_[4 a 10]</v>
      </c>
      <c r="G46" s="1"/>
      <c r="H46" s="1">
        <f>SUMIF(L!AC:AC,Datos!F46,L!T:T)</f>
        <v>0</v>
      </c>
      <c r="I46" s="1">
        <f>COUNTIF(L!AC:AC,Datos!F46)</f>
        <v>0</v>
      </c>
      <c r="J46" s="1">
        <f>SUMIF(L!AC:AC,Datos!F46,L!AD:AD)</f>
        <v>0</v>
      </c>
      <c r="K46" s="1">
        <f>COUNTIFS(L!AC:AC,F46,L!AD:AD,"&gt;0")</f>
        <v>0</v>
      </c>
    </row>
    <row r="47" spans="2:21" x14ac:dyDescent="0.25">
      <c r="E47" s="121" t="s">
        <v>1056</v>
      </c>
      <c r="F47" s="1" t="str">
        <f t="shared" si="1"/>
        <v>H_13_[4 a 10]</v>
      </c>
      <c r="G47" s="1"/>
      <c r="H47" s="1">
        <f>SUMIF(L!AC:AC,Datos!F47,L!T:T)</f>
        <v>0</v>
      </c>
      <c r="I47" s="1">
        <f>COUNTIF(L!AC:AC,Datos!F47)</f>
        <v>0</v>
      </c>
      <c r="J47" s="1">
        <f>SUMIF(L!AC:AC,Datos!F47,L!AD:AD)</f>
        <v>0</v>
      </c>
      <c r="K47" s="1">
        <f>COUNTIFS(L!AC:AC,F47,L!AD:AD,"&gt;0")</f>
        <v>0</v>
      </c>
    </row>
    <row r="48" spans="2:21" x14ac:dyDescent="0.25">
      <c r="E48" s="122" t="s">
        <v>1058</v>
      </c>
      <c r="F48" s="1" t="str">
        <f t="shared" si="1"/>
        <v>M_1_[4 a 10]</v>
      </c>
      <c r="G48" s="1"/>
      <c r="H48" s="1">
        <f>SUMIF(L!AC:AC,Datos!F48,L!T:T)</f>
        <v>32</v>
      </c>
      <c r="I48" s="1">
        <f>COUNTIF(L!AC:AC,Datos!F48)</f>
        <v>6</v>
      </c>
      <c r="J48" s="1">
        <f>SUMIF(L!AC:AC,Datos!F48,L!AD:AD)</f>
        <v>0</v>
      </c>
      <c r="K48" s="1">
        <f>COUNTIFS(L!AC:AC,F48,L!AD:AD,"&gt;0")</f>
        <v>0</v>
      </c>
    </row>
    <row r="49" spans="5:11" x14ac:dyDescent="0.25">
      <c r="E49" s="122" t="s">
        <v>1060</v>
      </c>
      <c r="F49" s="1" t="str">
        <f t="shared" si="1"/>
        <v>M_2_[4 a 10]</v>
      </c>
      <c r="G49" s="1"/>
      <c r="H49" s="1">
        <f>SUMIF(L!AC:AC,Datos!F49,L!T:T)</f>
        <v>0</v>
      </c>
      <c r="I49" s="1">
        <f>COUNTIF(L!AC:AC,Datos!F49)</f>
        <v>0</v>
      </c>
      <c r="J49" s="1">
        <f>SUMIF(L!AC:AC,Datos!F49,L!AD:AD)</f>
        <v>0</v>
      </c>
      <c r="K49" s="1">
        <f>COUNTIFS(L!AC:AC,F49,L!AD:AD,"&gt;0")</f>
        <v>0</v>
      </c>
    </row>
    <row r="50" spans="5:11" x14ac:dyDescent="0.25">
      <c r="E50" s="122" t="s">
        <v>1062</v>
      </c>
      <c r="F50" s="1" t="str">
        <f t="shared" si="1"/>
        <v>M_3_[4 a 10]</v>
      </c>
      <c r="G50" s="1"/>
      <c r="H50" s="1">
        <f>SUMIF(L!AC:AC,Datos!F50,L!T:T)</f>
        <v>0</v>
      </c>
      <c r="I50" s="1">
        <f>COUNTIF(L!AC:AC,Datos!F50)</f>
        <v>0</v>
      </c>
      <c r="J50" s="1">
        <f>SUMIF(L!AC:AC,Datos!F50,L!AD:AD)</f>
        <v>0</v>
      </c>
      <c r="K50" s="1">
        <f>COUNTIFS(L!AC:AC,F50,L!AD:AD,"&gt;0")</f>
        <v>0</v>
      </c>
    </row>
    <row r="51" spans="5:11" x14ac:dyDescent="0.25">
      <c r="E51" s="122" t="s">
        <v>1064</v>
      </c>
      <c r="F51" s="1" t="str">
        <f t="shared" si="1"/>
        <v>M_4_[4 a 10]</v>
      </c>
      <c r="G51" s="1"/>
      <c r="H51" s="1">
        <f>SUMIF(L!AC:AC,Datos!F51,L!T:T)</f>
        <v>0</v>
      </c>
      <c r="I51" s="1">
        <f>COUNTIF(L!AC:AC,Datos!F51)</f>
        <v>0</v>
      </c>
      <c r="J51" s="1">
        <f>SUMIF(L!AC:AC,Datos!F51,L!AD:AD)</f>
        <v>0</v>
      </c>
      <c r="K51" s="1">
        <f>COUNTIFS(L!AC:AC,F51,L!AD:AD,"&gt;0")</f>
        <v>0</v>
      </c>
    </row>
    <row r="52" spans="5:11" x14ac:dyDescent="0.25">
      <c r="E52" s="122" t="s">
        <v>1066</v>
      </c>
      <c r="F52" s="1" t="str">
        <f t="shared" si="1"/>
        <v>M_5A_[4 a 10]</v>
      </c>
      <c r="G52" s="1"/>
      <c r="H52" s="1">
        <f>SUMIF(L!AC:AC,Datos!F52,L!T:T)</f>
        <v>0</v>
      </c>
      <c r="I52" s="1">
        <f>COUNTIF(L!AC:AC,Datos!F52)</f>
        <v>0</v>
      </c>
      <c r="J52" s="1">
        <f>SUMIF(L!AC:AC,Datos!F52,L!AD:AD)</f>
        <v>0</v>
      </c>
      <c r="K52" s="1">
        <f>COUNTIFS(L!AC:AC,F52,L!AD:AD,"&gt;0")</f>
        <v>0</v>
      </c>
    </row>
    <row r="53" spans="5:11" x14ac:dyDescent="0.25">
      <c r="E53" s="122" t="s">
        <v>1068</v>
      </c>
      <c r="F53" s="1" t="str">
        <f t="shared" si="1"/>
        <v>M_5B_[4 a 10]</v>
      </c>
      <c r="G53" s="1"/>
      <c r="H53" s="1">
        <f>SUMIF(L!AC:AC,Datos!F53,L!T:T)</f>
        <v>0</v>
      </c>
      <c r="I53" s="1">
        <f>COUNTIF(L!AC:AC,Datos!F53)</f>
        <v>0</v>
      </c>
      <c r="J53" s="1">
        <f>SUMIF(L!AC:AC,Datos!F53,L!AD:AD)</f>
        <v>0</v>
      </c>
      <c r="K53" s="1">
        <f>COUNTIFS(L!AC:AC,F53,L!AD:AD,"&gt;0")</f>
        <v>0</v>
      </c>
    </row>
    <row r="54" spans="5:11" x14ac:dyDescent="0.25">
      <c r="E54" s="122" t="s">
        <v>1070</v>
      </c>
      <c r="F54" s="1" t="str">
        <f t="shared" si="1"/>
        <v>M_6A_[4 a 10]</v>
      </c>
      <c r="G54" s="1"/>
      <c r="H54" s="1">
        <f>SUMIF(L!AC:AC,Datos!F54,L!T:T)</f>
        <v>0</v>
      </c>
      <c r="I54" s="1">
        <f>COUNTIF(L!AC:AC,Datos!F54)</f>
        <v>0</v>
      </c>
      <c r="J54" s="1">
        <f>SUMIF(L!AC:AC,Datos!F54,L!AD:AD)</f>
        <v>0</v>
      </c>
      <c r="K54" s="1">
        <f>COUNTIFS(L!AC:AC,F54,L!AD:AD,"&gt;0")</f>
        <v>0</v>
      </c>
    </row>
    <row r="55" spans="5:11" x14ac:dyDescent="0.25">
      <c r="E55" s="122" t="s">
        <v>1072</v>
      </c>
      <c r="F55" s="1" t="str">
        <f t="shared" si="1"/>
        <v>M_6B_[4 a 10]</v>
      </c>
      <c r="G55" s="1"/>
      <c r="H55" s="1">
        <f>SUMIF(L!AC:AC,Datos!F55,L!T:T)</f>
        <v>0</v>
      </c>
      <c r="I55" s="1">
        <f>COUNTIF(L!AC:AC,Datos!F55)</f>
        <v>0</v>
      </c>
      <c r="J55" s="1">
        <f>SUMIF(L!AC:AC,Datos!F55,L!AD:AD)</f>
        <v>0</v>
      </c>
      <c r="K55" s="1">
        <f>COUNTIFS(L!AC:AC,F55,L!AD:AD,"&gt;0")</f>
        <v>0</v>
      </c>
    </row>
    <row r="56" spans="5:11" x14ac:dyDescent="0.25">
      <c r="E56" s="122" t="s">
        <v>1074</v>
      </c>
      <c r="F56" s="1" t="str">
        <f t="shared" si="1"/>
        <v>M_7_[4 a 10]</v>
      </c>
      <c r="G56" s="1"/>
      <c r="H56" s="1">
        <f>SUMIF(L!AC:AC,Datos!F56,L!T:T)</f>
        <v>0</v>
      </c>
      <c r="I56" s="1">
        <f>COUNTIF(L!AC:AC,Datos!F56)</f>
        <v>0</v>
      </c>
      <c r="J56" s="1">
        <f>SUMIF(L!AC:AC,Datos!F56,L!AD:AD)</f>
        <v>0</v>
      </c>
      <c r="K56" s="1">
        <f>COUNTIFS(L!AC:AC,F56,L!AD:AD,"&gt;0")</f>
        <v>0</v>
      </c>
    </row>
    <row r="57" spans="5:11" x14ac:dyDescent="0.25">
      <c r="E57" s="122" t="s">
        <v>1076</v>
      </c>
      <c r="F57" s="1" t="str">
        <f t="shared" si="1"/>
        <v>M_8_[4 a 10]</v>
      </c>
      <c r="G57" s="1"/>
      <c r="H57" s="1">
        <f>SUMIF(L!AC:AC,Datos!F57,L!T:T)</f>
        <v>0</v>
      </c>
      <c r="I57" s="1">
        <f>COUNTIF(L!AC:AC,Datos!F57)</f>
        <v>0</v>
      </c>
      <c r="J57" s="1">
        <f>SUMIF(L!AC:AC,Datos!F57,L!AD:AD)</f>
        <v>0</v>
      </c>
      <c r="K57" s="1">
        <f>COUNTIFS(L!AC:AC,F57,L!AD:AD,"&gt;0")</f>
        <v>0</v>
      </c>
    </row>
    <row r="58" spans="5:11" x14ac:dyDescent="0.25">
      <c r="E58" s="122" t="s">
        <v>1078</v>
      </c>
      <c r="F58" s="1" t="str">
        <f t="shared" si="1"/>
        <v>M_9_[4 a 10]</v>
      </c>
      <c r="G58" s="1"/>
      <c r="H58" s="1">
        <f>SUMIF(L!AC:AC,Datos!F58,L!T:T)</f>
        <v>0</v>
      </c>
      <c r="I58" s="1">
        <f>COUNTIF(L!AC:AC,Datos!F58)</f>
        <v>0</v>
      </c>
      <c r="J58" s="1">
        <f>SUMIF(L!AC:AC,Datos!F58,L!AD:AD)</f>
        <v>0</v>
      </c>
      <c r="K58" s="1">
        <f>COUNTIFS(L!AC:AC,F58,L!AD:AD,"&gt;0")</f>
        <v>0</v>
      </c>
    </row>
    <row r="59" spans="5:11" x14ac:dyDescent="0.25">
      <c r="E59" s="122" t="s">
        <v>1080</v>
      </c>
      <c r="F59" s="1" t="str">
        <f t="shared" si="1"/>
        <v>M_10_[4 a 10]</v>
      </c>
      <c r="G59" s="1"/>
      <c r="H59" s="1">
        <f>SUMIF(L!AC:AC,Datos!F59,L!T:T)</f>
        <v>0</v>
      </c>
      <c r="I59" s="1">
        <f>COUNTIF(L!AC:AC,Datos!F59)</f>
        <v>0</v>
      </c>
      <c r="J59" s="1">
        <f>SUMIF(L!AC:AC,Datos!F59,L!AD:AD)</f>
        <v>0</v>
      </c>
      <c r="K59" s="1">
        <f>COUNTIFS(L!AC:AC,F59,L!AD:AD,"&gt;0")</f>
        <v>0</v>
      </c>
    </row>
    <row r="60" spans="5:11" x14ac:dyDescent="0.25">
      <c r="E60" s="122" t="s">
        <v>1082</v>
      </c>
      <c r="F60" s="1" t="str">
        <f t="shared" si="1"/>
        <v>M_11_[4 a 10]</v>
      </c>
      <c r="G60" s="1"/>
      <c r="H60" s="1">
        <f>SUMIF(L!AC:AC,Datos!F60,L!T:T)</f>
        <v>0</v>
      </c>
      <c r="I60" s="1">
        <f>COUNTIF(L!AC:AC,Datos!F60)</f>
        <v>0</v>
      </c>
      <c r="J60" s="1">
        <f>SUMIF(L!AC:AC,Datos!F60,L!AD:AD)</f>
        <v>0</v>
      </c>
      <c r="K60" s="1">
        <f>COUNTIFS(L!AC:AC,F60,L!AD:AD,"&gt;0")</f>
        <v>0</v>
      </c>
    </row>
    <row r="61" spans="5:11" x14ac:dyDescent="0.25">
      <c r="E61" s="122" t="s">
        <v>1084</v>
      </c>
      <c r="F61" s="1" t="str">
        <f t="shared" si="1"/>
        <v>M_12_[4 a 10]</v>
      </c>
      <c r="G61" s="1"/>
      <c r="H61" s="1">
        <f>SUMIF(L!AC:AC,Datos!F61,L!T:T)</f>
        <v>0</v>
      </c>
      <c r="I61" s="1">
        <f>COUNTIF(L!AC:AC,Datos!F61)</f>
        <v>0</v>
      </c>
      <c r="J61" s="1">
        <f>SUMIF(L!AC:AC,Datos!F61,L!AD:AD)</f>
        <v>0</v>
      </c>
      <c r="K61" s="1">
        <f>COUNTIFS(L!AC:AC,F61,L!AD:AD,"&gt;0")</f>
        <v>0</v>
      </c>
    </row>
    <row r="62" spans="5:11" x14ac:dyDescent="0.25">
      <c r="E62" s="122" t="s">
        <v>1086</v>
      </c>
      <c r="F62" s="1" t="str">
        <f t="shared" si="1"/>
        <v>M_13_[4 a 10]</v>
      </c>
      <c r="G62" s="1"/>
      <c r="H62" s="1">
        <f>SUMIF(L!AC:AC,Datos!F62,L!T:T)</f>
        <v>0</v>
      </c>
      <c r="I62" s="1">
        <f>COUNTIF(L!AC:AC,Datos!F62)</f>
        <v>0</v>
      </c>
      <c r="J62" s="1">
        <f>SUMIF(L!AC:AC,Datos!F62,L!AD:AD)</f>
        <v>0</v>
      </c>
      <c r="K62" s="1">
        <f>COUNTIFS(L!AC:AC,F62,L!AD:AD,"&gt;0")</f>
        <v>0</v>
      </c>
    </row>
    <row r="63" spans="5:11" x14ac:dyDescent="0.25">
      <c r="E63" s="121" t="s">
        <v>1030</v>
      </c>
      <c r="F63" s="1" t="str">
        <f>CONCATENATE(E63,"_",$C$5)</f>
        <v>H_1_[11 +]</v>
      </c>
      <c r="G63" s="1"/>
      <c r="H63" s="1">
        <f>SUMIF(L!AC:AC,Datos!F63,L!T:T)</f>
        <v>239</v>
      </c>
      <c r="I63" s="1">
        <f>COUNTIF(L!AC:AC,Datos!F63)</f>
        <v>10</v>
      </c>
      <c r="J63" s="1">
        <f>SUMIF(L!AC:AC,Datos!F63,L!AD:AD)</f>
        <v>0</v>
      </c>
      <c r="K63" s="1">
        <f>COUNTIFS(L!AC:AC,F63,L!AD:AD,"&gt;0")</f>
        <v>0</v>
      </c>
    </row>
    <row r="64" spans="5:11" x14ac:dyDescent="0.25">
      <c r="E64" s="121" t="s">
        <v>1033</v>
      </c>
      <c r="F64" s="1" t="str">
        <f t="shared" ref="F64:F92" si="2">CONCATENATE(E64,"_",$C$5)</f>
        <v>H_2_[11 +]</v>
      </c>
      <c r="G64" s="1"/>
      <c r="H64" s="1">
        <f>SUMIF(L!AC:AC,Datos!F64,L!T:T)</f>
        <v>0</v>
      </c>
      <c r="I64" s="1">
        <f>COUNTIF(L!AC:AC,Datos!F64)</f>
        <v>0</v>
      </c>
      <c r="J64" s="1">
        <f>SUMIF(L!AC:AC,Datos!F64,L!AD:AD)</f>
        <v>0</v>
      </c>
      <c r="K64" s="1">
        <f>COUNTIFS(L!AC:AC,F64,L!AD:AD,"&gt;0")</f>
        <v>0</v>
      </c>
    </row>
    <row r="65" spans="5:11" x14ac:dyDescent="0.25">
      <c r="E65" s="121" t="s">
        <v>1035</v>
      </c>
      <c r="F65" s="1" t="str">
        <f t="shared" si="2"/>
        <v>H_3_[11 +]</v>
      </c>
      <c r="G65" s="1"/>
      <c r="H65" s="1">
        <f>SUMIF(L!AC:AC,Datos!F65,L!T:T)</f>
        <v>0</v>
      </c>
      <c r="I65" s="1">
        <f>COUNTIF(L!AC:AC,Datos!F65)</f>
        <v>0</v>
      </c>
      <c r="J65" s="1">
        <f>SUMIF(L!AC:AC,Datos!F65,L!AD:AD)</f>
        <v>0</v>
      </c>
      <c r="K65" s="1">
        <f>COUNTIFS(L!AC:AC,F65,L!AD:AD,"&gt;0")</f>
        <v>0</v>
      </c>
    </row>
    <row r="66" spans="5:11" x14ac:dyDescent="0.25">
      <c r="E66" s="121" t="s">
        <v>1036</v>
      </c>
      <c r="F66" s="1" t="str">
        <f t="shared" si="2"/>
        <v>H_4_[11 +]</v>
      </c>
      <c r="G66" s="1"/>
      <c r="H66" s="1">
        <f>SUMIF(L!AC:AC,Datos!F66,L!T:T)</f>
        <v>0</v>
      </c>
      <c r="I66" s="1">
        <f>COUNTIF(L!AC:AC,Datos!F66)</f>
        <v>0</v>
      </c>
      <c r="J66" s="1">
        <f>SUMIF(L!AC:AC,Datos!F66,L!AD:AD)</f>
        <v>0</v>
      </c>
      <c r="K66" s="1">
        <f>COUNTIFS(L!AC:AC,F66,L!AD:AD,"&gt;0")</f>
        <v>0</v>
      </c>
    </row>
    <row r="67" spans="5:11" x14ac:dyDescent="0.25">
      <c r="E67" s="121" t="s">
        <v>1037</v>
      </c>
      <c r="F67" s="1" t="str">
        <f t="shared" si="2"/>
        <v>H_5A_[11 +]</v>
      </c>
      <c r="G67" s="1"/>
      <c r="H67" s="1">
        <f>SUMIF(L!AC:AC,Datos!F67,L!T:T)</f>
        <v>0</v>
      </c>
      <c r="I67" s="1">
        <f>COUNTIF(L!AC:AC,Datos!F67)</f>
        <v>0</v>
      </c>
      <c r="J67" s="1">
        <f>SUMIF(L!AC:AC,Datos!F67,L!AD:AD)</f>
        <v>0</v>
      </c>
      <c r="K67" s="1">
        <f>COUNTIFS(L!AC:AC,F67,L!AD:AD,"&gt;0")</f>
        <v>0</v>
      </c>
    </row>
    <row r="68" spans="5:11" x14ac:dyDescent="0.25">
      <c r="E68" s="121" t="s">
        <v>1038</v>
      </c>
      <c r="F68" s="1" t="str">
        <f t="shared" si="2"/>
        <v>H_5B_[11 +]</v>
      </c>
      <c r="G68" s="1"/>
      <c r="H68" s="1">
        <f>SUMIF(L!AC:AC,Datos!F68,L!T:T)</f>
        <v>0</v>
      </c>
      <c r="I68" s="1">
        <f>COUNTIF(L!AC:AC,Datos!F68)</f>
        <v>0</v>
      </c>
      <c r="J68" s="1">
        <f>SUMIF(L!AC:AC,Datos!F68,L!AD:AD)</f>
        <v>0</v>
      </c>
      <c r="K68" s="1">
        <f>COUNTIFS(L!AC:AC,F68,L!AD:AD,"&gt;0")</f>
        <v>0</v>
      </c>
    </row>
    <row r="69" spans="5:11" x14ac:dyDescent="0.25">
      <c r="E69" s="121" t="s">
        <v>1040</v>
      </c>
      <c r="F69" s="1" t="str">
        <f t="shared" si="2"/>
        <v>H_6A_[11 +]</v>
      </c>
      <c r="G69" s="1"/>
      <c r="H69" s="1">
        <f>SUMIF(L!AC:AC,Datos!F69,L!T:T)</f>
        <v>0</v>
      </c>
      <c r="I69" s="1">
        <f>COUNTIF(L!AC:AC,Datos!F69)</f>
        <v>0</v>
      </c>
      <c r="J69" s="1">
        <f>SUMIF(L!AC:AC,Datos!F69,L!AD:AD)</f>
        <v>0</v>
      </c>
      <c r="K69" s="1">
        <f>COUNTIFS(L!AC:AC,F69,L!AD:AD,"&gt;0")</f>
        <v>0</v>
      </c>
    </row>
    <row r="70" spans="5:11" x14ac:dyDescent="0.25">
      <c r="E70" s="121" t="s">
        <v>1042</v>
      </c>
      <c r="F70" s="1" t="str">
        <f t="shared" si="2"/>
        <v>H_6B_[11 +]</v>
      </c>
      <c r="G70" s="1"/>
      <c r="H70" s="1">
        <f>SUMIF(L!AC:AC,Datos!F70,L!T:T)</f>
        <v>0</v>
      </c>
      <c r="I70" s="1">
        <f>COUNTIF(L!AC:AC,Datos!F70)</f>
        <v>0</v>
      </c>
      <c r="J70" s="1">
        <f>SUMIF(L!AC:AC,Datos!F70,L!AD:AD)</f>
        <v>0</v>
      </c>
      <c r="K70" s="1">
        <f>COUNTIFS(L!AC:AC,F70,L!AD:AD,"&gt;0")</f>
        <v>0</v>
      </c>
    </row>
    <row r="71" spans="5:11" x14ac:dyDescent="0.25">
      <c r="E71" s="121" t="s">
        <v>1044</v>
      </c>
      <c r="F71" s="1" t="str">
        <f t="shared" si="2"/>
        <v>H_7_[11 +]</v>
      </c>
      <c r="G71" s="1"/>
      <c r="H71" s="1">
        <f>SUMIF(L!AC:AC,Datos!F71,L!T:T)</f>
        <v>0</v>
      </c>
      <c r="I71" s="1">
        <f>COUNTIF(L!AC:AC,Datos!F71)</f>
        <v>0</v>
      </c>
      <c r="J71" s="1">
        <f>SUMIF(L!AC:AC,Datos!F71,L!AD:AD)</f>
        <v>0</v>
      </c>
      <c r="K71" s="1">
        <f>COUNTIFS(L!AC:AC,F71,L!AD:AD,"&gt;0")</f>
        <v>0</v>
      </c>
    </row>
    <row r="72" spans="5:11" x14ac:dyDescent="0.25">
      <c r="E72" s="121" t="s">
        <v>1046</v>
      </c>
      <c r="F72" s="1" t="str">
        <f t="shared" si="2"/>
        <v>H_8_[11 +]</v>
      </c>
      <c r="G72" s="1"/>
      <c r="H72" s="1">
        <f>SUMIF(L!AC:AC,Datos!F72,L!T:T)</f>
        <v>0</v>
      </c>
      <c r="I72" s="1">
        <f>COUNTIF(L!AC:AC,Datos!F72)</f>
        <v>0</v>
      </c>
      <c r="J72" s="1">
        <f>SUMIF(L!AC:AC,Datos!F72,L!AD:AD)</f>
        <v>0</v>
      </c>
      <c r="K72" s="1">
        <f>COUNTIFS(L!AC:AC,F72,L!AD:AD,"&gt;0")</f>
        <v>0</v>
      </c>
    </row>
    <row r="73" spans="5:11" x14ac:dyDescent="0.25">
      <c r="E73" s="121" t="s">
        <v>1048</v>
      </c>
      <c r="F73" s="1" t="str">
        <f t="shared" si="2"/>
        <v>H_9_[11 +]</v>
      </c>
      <c r="G73" s="1"/>
      <c r="H73" s="1">
        <f>SUMIF(L!AC:AC,Datos!F73,L!T:T)</f>
        <v>0</v>
      </c>
      <c r="I73" s="1">
        <f>COUNTIF(L!AC:AC,Datos!F73)</f>
        <v>0</v>
      </c>
      <c r="J73" s="1">
        <f>SUMIF(L!AC:AC,Datos!F73,L!AD:AD)</f>
        <v>0</v>
      </c>
      <c r="K73" s="1">
        <f>COUNTIFS(L!AC:AC,F73,L!AD:AD,"&gt;0")</f>
        <v>0</v>
      </c>
    </row>
    <row r="74" spans="5:11" x14ac:dyDescent="0.25">
      <c r="E74" s="121" t="s">
        <v>1050</v>
      </c>
      <c r="F74" s="1" t="str">
        <f t="shared" si="2"/>
        <v>H_10_[11 +]</v>
      </c>
      <c r="G74" s="1"/>
      <c r="H74" s="1">
        <f>SUMIF(L!AC:AC,Datos!F74,L!T:T)</f>
        <v>0</v>
      </c>
      <c r="I74" s="1">
        <f>COUNTIF(L!AC:AC,Datos!F74)</f>
        <v>0</v>
      </c>
      <c r="J74" s="1">
        <f>SUMIF(L!AC:AC,Datos!F74,L!AD:AD)</f>
        <v>0</v>
      </c>
      <c r="K74" s="1">
        <f>COUNTIFS(L!AC:AC,F74,L!AD:AD,"&gt;0")</f>
        <v>0</v>
      </c>
    </row>
    <row r="75" spans="5:11" x14ac:dyDescent="0.25">
      <c r="E75" s="121" t="s">
        <v>1052</v>
      </c>
      <c r="F75" s="1" t="str">
        <f t="shared" si="2"/>
        <v>H_11_[11 +]</v>
      </c>
      <c r="G75" s="1"/>
      <c r="H75" s="1">
        <f>SUMIF(L!AC:AC,Datos!F75,L!T:T)</f>
        <v>0</v>
      </c>
      <c r="I75" s="1">
        <f>COUNTIF(L!AC:AC,Datos!F75)</f>
        <v>0</v>
      </c>
      <c r="J75" s="1">
        <f>SUMIF(L!AC:AC,Datos!F75,L!AD:AD)</f>
        <v>0</v>
      </c>
      <c r="K75" s="1">
        <f>COUNTIFS(L!AC:AC,F75,L!AD:AD,"&gt;0")</f>
        <v>0</v>
      </c>
    </row>
    <row r="76" spans="5:11" x14ac:dyDescent="0.25">
      <c r="E76" s="121" t="s">
        <v>1054</v>
      </c>
      <c r="F76" s="1" t="str">
        <f t="shared" si="2"/>
        <v>H_12_[11 +]</v>
      </c>
      <c r="G76" s="1"/>
      <c r="H76" s="1">
        <f>SUMIF(L!AC:AC,Datos!F76,L!T:T)</f>
        <v>0</v>
      </c>
      <c r="I76" s="1">
        <f>COUNTIF(L!AC:AC,Datos!F76)</f>
        <v>0</v>
      </c>
      <c r="J76" s="1">
        <f>SUMIF(L!AC:AC,Datos!F76,L!AD:AD)</f>
        <v>0</v>
      </c>
      <c r="K76" s="1">
        <f>COUNTIFS(L!AC:AC,F76,L!AD:AD,"&gt;0")</f>
        <v>0</v>
      </c>
    </row>
    <row r="77" spans="5:11" x14ac:dyDescent="0.25">
      <c r="E77" s="121" t="s">
        <v>1056</v>
      </c>
      <c r="F77" s="1" t="str">
        <f t="shared" si="2"/>
        <v>H_13_[11 +]</v>
      </c>
      <c r="G77" s="1"/>
      <c r="H77" s="1">
        <f>SUMIF(L!AC:AC,Datos!F77,L!T:T)</f>
        <v>0</v>
      </c>
      <c r="I77" s="1">
        <f>COUNTIF(L!AC:AC,Datos!F77)</f>
        <v>0</v>
      </c>
      <c r="J77" s="1">
        <f>SUMIF(L!AC:AC,Datos!F77,L!AD:AD)</f>
        <v>0</v>
      </c>
      <c r="K77" s="1">
        <f>COUNTIFS(L!AC:AC,F77,L!AD:AD,"&gt;0")</f>
        <v>0</v>
      </c>
    </row>
    <row r="78" spans="5:11" x14ac:dyDescent="0.25">
      <c r="E78" s="122" t="s">
        <v>1058</v>
      </c>
      <c r="F78" s="1" t="str">
        <f t="shared" si="2"/>
        <v>M_1_[11 +]</v>
      </c>
      <c r="G78" s="1"/>
      <c r="H78" s="1">
        <f>SUMIF(L!AC:AC,Datos!F78,L!T:T)</f>
        <v>472</v>
      </c>
      <c r="I78" s="1">
        <f>COUNTIF(L!AC:AC,Datos!F78)</f>
        <v>26</v>
      </c>
      <c r="J78" s="1">
        <f>SUMIF(L!AC:AC,Datos!F78,L!AD:AD)</f>
        <v>0</v>
      </c>
      <c r="K78" s="1">
        <f>COUNTIFS(L!AC:AC,F78,L!AD:AD,"&gt;0")</f>
        <v>0</v>
      </c>
    </row>
    <row r="79" spans="5:11" x14ac:dyDescent="0.25">
      <c r="E79" s="122" t="s">
        <v>1060</v>
      </c>
      <c r="F79" s="1" t="str">
        <f t="shared" si="2"/>
        <v>M_2_[11 +]</v>
      </c>
      <c r="G79" s="1"/>
      <c r="H79" s="1">
        <f>SUMIF(L!AC:AC,Datos!F79,L!T:T)</f>
        <v>0</v>
      </c>
      <c r="I79" s="1">
        <f>COUNTIF(L!AC:AC,Datos!F79)</f>
        <v>0</v>
      </c>
      <c r="J79" s="1">
        <f>SUMIF(L!AC:AC,Datos!F79,L!AD:AD)</f>
        <v>0</v>
      </c>
      <c r="K79" s="1">
        <f>COUNTIFS(L!AC:AC,F79,L!AD:AD,"&gt;0")</f>
        <v>0</v>
      </c>
    </row>
    <row r="80" spans="5:11" x14ac:dyDescent="0.25">
      <c r="E80" s="122" t="s">
        <v>1062</v>
      </c>
      <c r="F80" s="1" t="str">
        <f t="shared" si="2"/>
        <v>M_3_[11 +]</v>
      </c>
      <c r="G80" s="1"/>
      <c r="H80" s="1">
        <f>SUMIF(L!AC:AC,Datos!F80,L!T:T)</f>
        <v>0</v>
      </c>
      <c r="I80" s="1">
        <f>COUNTIF(L!AC:AC,Datos!F80)</f>
        <v>0</v>
      </c>
      <c r="J80" s="1">
        <f>SUMIF(L!AC:AC,Datos!F80,L!AD:AD)</f>
        <v>0</v>
      </c>
      <c r="K80" s="1">
        <f>COUNTIFS(L!AC:AC,F80,L!AD:AD,"&gt;0")</f>
        <v>0</v>
      </c>
    </row>
    <row r="81" spans="5:11" x14ac:dyDescent="0.25">
      <c r="E81" s="122" t="s">
        <v>1064</v>
      </c>
      <c r="F81" s="1" t="str">
        <f t="shared" si="2"/>
        <v>M_4_[11 +]</v>
      </c>
      <c r="G81" s="1"/>
      <c r="H81" s="1">
        <f>SUMIF(L!AC:AC,Datos!F81,L!T:T)</f>
        <v>0</v>
      </c>
      <c r="I81" s="1">
        <f>COUNTIF(L!AC:AC,Datos!F81)</f>
        <v>0</v>
      </c>
      <c r="J81" s="1">
        <f>SUMIF(L!AC:AC,Datos!F81,L!AD:AD)</f>
        <v>0</v>
      </c>
      <c r="K81" s="1">
        <f>COUNTIFS(L!AC:AC,F81,L!AD:AD,"&gt;0")</f>
        <v>0</v>
      </c>
    </row>
    <row r="82" spans="5:11" x14ac:dyDescent="0.25">
      <c r="E82" s="122" t="s">
        <v>1066</v>
      </c>
      <c r="F82" s="1" t="str">
        <f t="shared" si="2"/>
        <v>M_5A_[11 +]</v>
      </c>
      <c r="G82" s="1"/>
      <c r="H82" s="1">
        <f>SUMIF(L!AC:AC,Datos!F82,L!T:T)</f>
        <v>0</v>
      </c>
      <c r="I82" s="1">
        <f>COUNTIF(L!AC:AC,Datos!F82)</f>
        <v>0</v>
      </c>
      <c r="J82" s="1">
        <f>SUMIF(L!AC:AC,Datos!F82,L!AD:AD)</f>
        <v>0</v>
      </c>
      <c r="K82" s="1">
        <f>COUNTIFS(L!AC:AC,F82,L!AD:AD,"&gt;0")</f>
        <v>0</v>
      </c>
    </row>
    <row r="83" spans="5:11" x14ac:dyDescent="0.25">
      <c r="E83" s="122" t="s">
        <v>1068</v>
      </c>
      <c r="F83" s="1" t="str">
        <f t="shared" si="2"/>
        <v>M_5B_[11 +]</v>
      </c>
      <c r="G83" s="1"/>
      <c r="H83" s="1">
        <f>SUMIF(L!AC:AC,Datos!F83,L!T:T)</f>
        <v>0</v>
      </c>
      <c r="I83" s="1">
        <f>COUNTIF(L!AC:AC,Datos!F83)</f>
        <v>0</v>
      </c>
      <c r="J83" s="1">
        <f>SUMIF(L!AC:AC,Datos!F83,L!AD:AD)</f>
        <v>0</v>
      </c>
      <c r="K83" s="1">
        <f>COUNTIFS(L!AC:AC,F83,L!AD:AD,"&gt;0")</f>
        <v>0</v>
      </c>
    </row>
    <row r="84" spans="5:11" x14ac:dyDescent="0.25">
      <c r="E84" s="122" t="s">
        <v>1070</v>
      </c>
      <c r="F84" s="1" t="str">
        <f t="shared" si="2"/>
        <v>M_6A_[11 +]</v>
      </c>
      <c r="G84" s="1"/>
      <c r="H84" s="1">
        <f>SUMIF(L!AC:AC,Datos!F84,L!T:T)</f>
        <v>0</v>
      </c>
      <c r="I84" s="1">
        <f>COUNTIF(L!AC:AC,Datos!F84)</f>
        <v>0</v>
      </c>
      <c r="J84" s="1">
        <f>SUMIF(L!AC:AC,Datos!F84,L!AD:AD)</f>
        <v>0</v>
      </c>
      <c r="K84" s="1">
        <f>COUNTIFS(L!AC:AC,F84,L!AD:AD,"&gt;0")</f>
        <v>0</v>
      </c>
    </row>
    <row r="85" spans="5:11" x14ac:dyDescent="0.25">
      <c r="E85" s="122" t="s">
        <v>1072</v>
      </c>
      <c r="F85" s="1" t="str">
        <f t="shared" si="2"/>
        <v>M_6B_[11 +]</v>
      </c>
      <c r="G85" s="1"/>
      <c r="H85" s="1">
        <f>SUMIF(L!AC:AC,Datos!F85,L!T:T)</f>
        <v>0</v>
      </c>
      <c r="I85" s="1">
        <f>COUNTIF(L!AC:AC,Datos!F85)</f>
        <v>0</v>
      </c>
      <c r="J85" s="1">
        <f>SUMIF(L!AC:AC,Datos!F85,L!AD:AD)</f>
        <v>0</v>
      </c>
      <c r="K85" s="1">
        <f>COUNTIFS(L!AC:AC,F85,L!AD:AD,"&gt;0")</f>
        <v>0</v>
      </c>
    </row>
    <row r="86" spans="5:11" x14ac:dyDescent="0.25">
      <c r="E86" s="122" t="s">
        <v>1074</v>
      </c>
      <c r="F86" s="1" t="str">
        <f t="shared" si="2"/>
        <v>M_7_[11 +]</v>
      </c>
      <c r="G86" s="1"/>
      <c r="H86" s="1">
        <f>SUMIF(L!AC:AC,Datos!F86,L!T:T)</f>
        <v>0</v>
      </c>
      <c r="I86" s="1">
        <f>COUNTIF(L!AC:AC,Datos!F86)</f>
        <v>0</v>
      </c>
      <c r="J86" s="1">
        <f>SUMIF(L!AC:AC,Datos!F86,L!AD:AD)</f>
        <v>0</v>
      </c>
      <c r="K86" s="1">
        <f>COUNTIFS(L!AC:AC,F86,L!AD:AD,"&gt;0")</f>
        <v>0</v>
      </c>
    </row>
    <row r="87" spans="5:11" x14ac:dyDescent="0.25">
      <c r="E87" s="122" t="s">
        <v>1076</v>
      </c>
      <c r="F87" s="1" t="str">
        <f t="shared" si="2"/>
        <v>M_8_[11 +]</v>
      </c>
      <c r="G87" s="1"/>
      <c r="H87" s="1">
        <f>SUMIF(L!AC:AC,Datos!F87,L!T:T)</f>
        <v>0</v>
      </c>
      <c r="I87" s="1">
        <f>COUNTIF(L!AC:AC,Datos!F87)</f>
        <v>0</v>
      </c>
      <c r="J87" s="1">
        <f>SUMIF(L!AC:AC,Datos!F87,L!AD:AD)</f>
        <v>0</v>
      </c>
      <c r="K87" s="1">
        <f>COUNTIFS(L!AC:AC,F87,L!AD:AD,"&gt;0")</f>
        <v>0</v>
      </c>
    </row>
    <row r="88" spans="5:11" x14ac:dyDescent="0.25">
      <c r="E88" s="122" t="s">
        <v>1078</v>
      </c>
      <c r="F88" s="1" t="str">
        <f t="shared" si="2"/>
        <v>M_9_[11 +]</v>
      </c>
      <c r="G88" s="1"/>
      <c r="H88" s="1">
        <f>SUMIF(L!AC:AC,Datos!F88,L!T:T)</f>
        <v>0</v>
      </c>
      <c r="I88" s="1">
        <f>COUNTIF(L!AC:AC,Datos!F88)</f>
        <v>0</v>
      </c>
      <c r="J88" s="1">
        <f>SUMIF(L!AC:AC,Datos!F88,L!AD:AD)</f>
        <v>0</v>
      </c>
      <c r="K88" s="1">
        <f>COUNTIFS(L!AC:AC,F88,L!AD:AD,"&gt;0")</f>
        <v>0</v>
      </c>
    </row>
    <row r="89" spans="5:11" x14ac:dyDescent="0.25">
      <c r="E89" s="122" t="s">
        <v>1080</v>
      </c>
      <c r="F89" s="1" t="str">
        <f t="shared" si="2"/>
        <v>M_10_[11 +]</v>
      </c>
      <c r="G89" s="1"/>
      <c r="H89" s="1">
        <f>SUMIF(L!AC:AC,Datos!F89,L!T:T)</f>
        <v>0</v>
      </c>
      <c r="I89" s="1">
        <f>COUNTIF(L!AC:AC,Datos!F89)</f>
        <v>0</v>
      </c>
      <c r="J89" s="1">
        <f>SUMIF(L!AC:AC,Datos!F89,L!AD:AD)</f>
        <v>0</v>
      </c>
      <c r="K89" s="1">
        <f>COUNTIFS(L!AC:AC,F89,L!AD:AD,"&gt;0")</f>
        <v>0</v>
      </c>
    </row>
    <row r="90" spans="5:11" x14ac:dyDescent="0.25">
      <c r="E90" s="122" t="s">
        <v>1082</v>
      </c>
      <c r="F90" s="1" t="str">
        <f t="shared" si="2"/>
        <v>M_11_[11 +]</v>
      </c>
      <c r="G90" s="1"/>
      <c r="H90" s="1">
        <f>SUMIF(L!AC:AC,Datos!F90,L!T:T)</f>
        <v>0</v>
      </c>
      <c r="I90" s="1">
        <f>COUNTIF(L!AC:AC,Datos!F90)</f>
        <v>0</v>
      </c>
      <c r="J90" s="1">
        <f>SUMIF(L!AC:AC,Datos!F90,L!AD:AD)</f>
        <v>0</v>
      </c>
      <c r="K90" s="1">
        <f>COUNTIFS(L!AC:AC,F90,L!AD:AD,"&gt;0")</f>
        <v>0</v>
      </c>
    </row>
    <row r="91" spans="5:11" x14ac:dyDescent="0.25">
      <c r="E91" s="122" t="s">
        <v>1084</v>
      </c>
      <c r="F91" s="1" t="str">
        <f t="shared" si="2"/>
        <v>M_12_[11 +]</v>
      </c>
      <c r="G91" s="1"/>
      <c r="H91" s="1">
        <f>SUMIF(L!AC:AC,Datos!F91,L!T:T)</f>
        <v>0</v>
      </c>
      <c r="I91" s="1">
        <f>COUNTIF(L!AC:AC,Datos!F91)</f>
        <v>0</v>
      </c>
      <c r="J91" s="1">
        <f>SUMIF(L!AC:AC,Datos!F91,L!AD:AD)</f>
        <v>0</v>
      </c>
      <c r="K91" s="1">
        <f>COUNTIFS(L!AC:AC,F91,L!AD:AD,"&gt;0")</f>
        <v>0</v>
      </c>
    </row>
    <row r="92" spans="5:11" x14ac:dyDescent="0.25">
      <c r="E92" s="122" t="s">
        <v>1086</v>
      </c>
      <c r="F92" s="1" t="str">
        <f t="shared" si="2"/>
        <v>M_13_[11 +]</v>
      </c>
      <c r="G92" s="1"/>
      <c r="H92" s="1">
        <f>SUMIF(L!AC:AC,Datos!F92,L!T:T)</f>
        <v>0</v>
      </c>
      <c r="I92" s="1">
        <f>COUNTIF(L!AC:AC,Datos!F92)</f>
        <v>0</v>
      </c>
      <c r="J92" s="1">
        <f>SUMIF(L!AC:AC,Datos!F92,L!AD:AD)</f>
        <v>0</v>
      </c>
      <c r="K92" s="1">
        <f>COUNTIFS(L!AC:AC,F92,L!AD:AD,"&gt;0")</f>
        <v>0</v>
      </c>
    </row>
    <row r="94" spans="5:11" x14ac:dyDescent="0.25">
      <c r="H94">
        <f>SUM(H3:H92)</f>
        <v>841</v>
      </c>
      <c r="I94">
        <f>SUM(I3:I92)</f>
        <v>83</v>
      </c>
      <c r="J94">
        <f>SUM(J3:J92)</f>
        <v>267468</v>
      </c>
      <c r="K94">
        <f>SUM(K3:K92)</f>
        <v>1</v>
      </c>
    </row>
    <row r="105" spans="1:18" x14ac:dyDescent="0.25">
      <c r="B105"/>
      <c r="C105"/>
    </row>
    <row r="106" spans="1:18" ht="18.75" x14ac:dyDescent="0.3">
      <c r="A106" s="123"/>
      <c r="B106" s="123"/>
      <c r="C106" s="234" t="s">
        <v>1095</v>
      </c>
      <c r="D106" s="234"/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124"/>
      <c r="P106" s="123"/>
      <c r="Q106" s="123"/>
      <c r="R106" s="123"/>
    </row>
    <row r="107" spans="1:18" ht="18.75" x14ac:dyDescent="0.3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</row>
    <row r="108" spans="1:18" ht="18.75" x14ac:dyDescent="0.3">
      <c r="A108" s="123"/>
      <c r="B108" s="238" t="s">
        <v>1096</v>
      </c>
      <c r="C108" s="238" t="s">
        <v>257</v>
      </c>
      <c r="D108" s="239" t="s">
        <v>621</v>
      </c>
      <c r="E108" s="239"/>
      <c r="F108" s="239"/>
      <c r="G108" s="239"/>
      <c r="H108" s="239"/>
      <c r="I108" s="239"/>
      <c r="J108" s="239"/>
      <c r="K108" s="125"/>
      <c r="L108" s="240" t="s">
        <v>1097</v>
      </c>
      <c r="M108" s="240"/>
      <c r="N108" s="240"/>
      <c r="O108" s="126"/>
      <c r="P108" s="123"/>
      <c r="Q108" s="123"/>
      <c r="R108" s="123"/>
    </row>
    <row r="109" spans="1:18" ht="18.75" x14ac:dyDescent="0.3">
      <c r="A109" s="123"/>
      <c r="B109" s="238"/>
      <c r="C109" s="238"/>
      <c r="D109" s="239" t="s">
        <v>1098</v>
      </c>
      <c r="E109" s="239"/>
      <c r="F109" s="239"/>
      <c r="G109" s="125"/>
      <c r="H109" s="239" t="s">
        <v>1099</v>
      </c>
      <c r="I109" s="239"/>
      <c r="J109" s="239"/>
      <c r="K109" s="125"/>
      <c r="L109" s="240"/>
      <c r="M109" s="240"/>
      <c r="N109" s="240"/>
      <c r="O109" s="126"/>
      <c r="P109" s="123"/>
      <c r="Q109" s="123"/>
      <c r="R109" s="123"/>
    </row>
    <row r="110" spans="1:18" ht="75" customHeight="1" x14ac:dyDescent="0.3">
      <c r="A110" s="123"/>
      <c r="B110" s="238"/>
      <c r="C110" s="238"/>
      <c r="D110" s="127" t="s">
        <v>1100</v>
      </c>
      <c r="E110" s="127" t="s">
        <v>1101</v>
      </c>
      <c r="F110" s="127" t="s">
        <v>1102</v>
      </c>
      <c r="G110" s="127"/>
      <c r="H110" s="127" t="s">
        <v>1100</v>
      </c>
      <c r="I110" s="127" t="s">
        <v>1101</v>
      </c>
      <c r="J110" s="127" t="s">
        <v>1102</v>
      </c>
      <c r="K110" s="127"/>
      <c r="L110" s="128" t="s">
        <v>1100</v>
      </c>
      <c r="M110" s="128" t="s">
        <v>1101</v>
      </c>
      <c r="N110" s="128" t="s">
        <v>1102</v>
      </c>
      <c r="O110" s="129"/>
      <c r="P110" s="123"/>
      <c r="Q110" s="123"/>
      <c r="R110" s="123"/>
    </row>
    <row r="111" spans="1:18" ht="18.75" x14ac:dyDescent="0.3">
      <c r="A111" s="123"/>
      <c r="B111" s="130">
        <v>1</v>
      </c>
      <c r="C111" s="131" t="s">
        <v>275</v>
      </c>
      <c r="D111" s="130">
        <f t="shared" ref="D111:D125" si="3">H3</f>
        <v>16</v>
      </c>
      <c r="E111" s="130">
        <f t="shared" ref="E111:E125" si="4">H33</f>
        <v>14</v>
      </c>
      <c r="F111" s="130">
        <f t="shared" ref="F111:F125" si="5">H63</f>
        <v>239</v>
      </c>
      <c r="G111" s="130"/>
      <c r="H111" s="130">
        <f t="shared" ref="H111:H125" si="6">H18</f>
        <v>57</v>
      </c>
      <c r="I111" s="130">
        <f t="shared" ref="I111:I125" si="7">H48</f>
        <v>32</v>
      </c>
      <c r="J111" s="130">
        <f t="shared" ref="J111:J125" si="8">H78</f>
        <v>472</v>
      </c>
      <c r="K111" s="130"/>
      <c r="L111" s="130">
        <f>D111+H111</f>
        <v>73</v>
      </c>
      <c r="M111" s="130">
        <f>E111+I111</f>
        <v>46</v>
      </c>
      <c r="N111" s="130">
        <f>F111+J111</f>
        <v>711</v>
      </c>
      <c r="O111" s="132"/>
      <c r="P111" s="123"/>
      <c r="Q111" s="123"/>
      <c r="R111" s="123"/>
    </row>
    <row r="112" spans="1:18" ht="18.75" x14ac:dyDescent="0.3">
      <c r="A112" s="123"/>
      <c r="B112" s="130">
        <v>2</v>
      </c>
      <c r="C112" s="131" t="s">
        <v>276</v>
      </c>
      <c r="D112" s="130">
        <f t="shared" si="3"/>
        <v>0</v>
      </c>
      <c r="E112" s="130">
        <f t="shared" si="4"/>
        <v>0</v>
      </c>
      <c r="F112" s="130">
        <f t="shared" si="5"/>
        <v>0</v>
      </c>
      <c r="G112" s="130"/>
      <c r="H112" s="130">
        <f t="shared" si="6"/>
        <v>0</v>
      </c>
      <c r="I112" s="130">
        <f t="shared" si="7"/>
        <v>0</v>
      </c>
      <c r="J112" s="130">
        <f t="shared" si="8"/>
        <v>0</v>
      </c>
      <c r="K112" s="130"/>
      <c r="L112" s="130">
        <f t="shared" ref="L112:N125" si="9">D112+H112</f>
        <v>0</v>
      </c>
      <c r="M112" s="130">
        <f t="shared" si="9"/>
        <v>0</v>
      </c>
      <c r="N112" s="130">
        <f t="shared" si="9"/>
        <v>0</v>
      </c>
      <c r="O112" s="132"/>
      <c r="P112" s="123"/>
      <c r="Q112" s="123"/>
      <c r="R112" s="123"/>
    </row>
    <row r="113" spans="1:18" ht="37.5" x14ac:dyDescent="0.3">
      <c r="A113" s="123"/>
      <c r="B113" s="130">
        <v>3</v>
      </c>
      <c r="C113" s="131" t="s">
        <v>1103</v>
      </c>
      <c r="D113" s="130">
        <f t="shared" si="3"/>
        <v>0</v>
      </c>
      <c r="E113" s="130">
        <f t="shared" si="4"/>
        <v>0</v>
      </c>
      <c r="F113" s="130">
        <f t="shared" si="5"/>
        <v>0</v>
      </c>
      <c r="G113" s="130"/>
      <c r="H113" s="130">
        <f t="shared" si="6"/>
        <v>0</v>
      </c>
      <c r="I113" s="130">
        <f t="shared" si="7"/>
        <v>0</v>
      </c>
      <c r="J113" s="130">
        <f t="shared" si="8"/>
        <v>0</v>
      </c>
      <c r="K113" s="130"/>
      <c r="L113" s="130">
        <f t="shared" si="9"/>
        <v>0</v>
      </c>
      <c r="M113" s="130">
        <f t="shared" si="9"/>
        <v>0</v>
      </c>
      <c r="N113" s="130">
        <f t="shared" si="9"/>
        <v>0</v>
      </c>
      <c r="O113" s="132"/>
      <c r="P113" s="123"/>
      <c r="Q113" s="123"/>
      <c r="R113" s="123"/>
    </row>
    <row r="114" spans="1:18" ht="37.5" x14ac:dyDescent="0.3">
      <c r="A114" s="123"/>
      <c r="B114" s="130">
        <v>4</v>
      </c>
      <c r="C114" s="131" t="s">
        <v>278</v>
      </c>
      <c r="D114" s="130">
        <f t="shared" si="3"/>
        <v>0</v>
      </c>
      <c r="E114" s="130">
        <f t="shared" si="4"/>
        <v>0</v>
      </c>
      <c r="F114" s="130">
        <f t="shared" si="5"/>
        <v>0</v>
      </c>
      <c r="G114" s="130"/>
      <c r="H114" s="130">
        <f t="shared" si="6"/>
        <v>0</v>
      </c>
      <c r="I114" s="130">
        <f t="shared" si="7"/>
        <v>0</v>
      </c>
      <c r="J114" s="130">
        <f t="shared" si="8"/>
        <v>0</v>
      </c>
      <c r="K114" s="130"/>
      <c r="L114" s="130">
        <f t="shared" si="9"/>
        <v>0</v>
      </c>
      <c r="M114" s="130">
        <f t="shared" si="9"/>
        <v>0</v>
      </c>
      <c r="N114" s="130">
        <f t="shared" si="9"/>
        <v>0</v>
      </c>
      <c r="O114" s="132"/>
      <c r="P114" s="123"/>
      <c r="Q114" s="123"/>
      <c r="R114" s="123"/>
    </row>
    <row r="115" spans="1:18" ht="33" customHeight="1" x14ac:dyDescent="0.3">
      <c r="A115" s="123"/>
      <c r="B115" s="130" t="s">
        <v>734</v>
      </c>
      <c r="C115" s="131" t="s">
        <v>733</v>
      </c>
      <c r="D115" s="130">
        <f t="shared" si="3"/>
        <v>0</v>
      </c>
      <c r="E115" s="130">
        <f t="shared" si="4"/>
        <v>0</v>
      </c>
      <c r="F115" s="130">
        <f t="shared" si="5"/>
        <v>0</v>
      </c>
      <c r="G115" s="130"/>
      <c r="H115" s="130">
        <f t="shared" si="6"/>
        <v>0</v>
      </c>
      <c r="I115" s="130">
        <f t="shared" si="7"/>
        <v>0</v>
      </c>
      <c r="J115" s="130">
        <f t="shared" si="8"/>
        <v>0</v>
      </c>
      <c r="K115" s="130"/>
      <c r="L115" s="130">
        <f t="shared" si="9"/>
        <v>0</v>
      </c>
      <c r="M115" s="130">
        <f t="shared" si="9"/>
        <v>0</v>
      </c>
      <c r="N115" s="130">
        <f t="shared" si="9"/>
        <v>0</v>
      </c>
      <c r="O115" s="132"/>
      <c r="P115" s="123"/>
      <c r="Q115" s="123"/>
      <c r="R115" s="123"/>
    </row>
    <row r="116" spans="1:18" ht="112.5" x14ac:dyDescent="0.3">
      <c r="A116" s="123"/>
      <c r="B116" s="130" t="s">
        <v>736</v>
      </c>
      <c r="C116" s="131" t="s">
        <v>1104</v>
      </c>
      <c r="D116" s="130">
        <f t="shared" si="3"/>
        <v>0</v>
      </c>
      <c r="E116" s="130">
        <f t="shared" si="4"/>
        <v>8</v>
      </c>
      <c r="F116" s="130">
        <f t="shared" si="5"/>
        <v>0</v>
      </c>
      <c r="G116" s="130"/>
      <c r="H116" s="130">
        <f t="shared" si="6"/>
        <v>0</v>
      </c>
      <c r="I116" s="130">
        <f t="shared" si="7"/>
        <v>0</v>
      </c>
      <c r="J116" s="130">
        <f t="shared" si="8"/>
        <v>0</v>
      </c>
      <c r="K116" s="130"/>
      <c r="L116" s="130">
        <f t="shared" si="9"/>
        <v>0</v>
      </c>
      <c r="M116" s="130">
        <f t="shared" si="9"/>
        <v>8</v>
      </c>
      <c r="N116" s="130">
        <f t="shared" si="9"/>
        <v>0</v>
      </c>
      <c r="O116" s="132"/>
      <c r="P116" s="123"/>
      <c r="Q116" s="123"/>
      <c r="R116" s="123"/>
    </row>
    <row r="117" spans="1:18" ht="37.5" x14ac:dyDescent="0.3">
      <c r="A117" s="123"/>
      <c r="B117" s="130" t="s">
        <v>738</v>
      </c>
      <c r="C117" s="131" t="s">
        <v>737</v>
      </c>
      <c r="D117" s="130">
        <f t="shared" si="3"/>
        <v>0</v>
      </c>
      <c r="E117" s="130">
        <f t="shared" si="4"/>
        <v>0</v>
      </c>
      <c r="F117" s="130">
        <f t="shared" si="5"/>
        <v>0</v>
      </c>
      <c r="G117" s="130"/>
      <c r="H117" s="130">
        <f t="shared" si="6"/>
        <v>0</v>
      </c>
      <c r="I117" s="130">
        <f t="shared" si="7"/>
        <v>0</v>
      </c>
      <c r="J117" s="130">
        <f t="shared" si="8"/>
        <v>0</v>
      </c>
      <c r="K117" s="130"/>
      <c r="L117" s="130">
        <f t="shared" si="9"/>
        <v>0</v>
      </c>
      <c r="M117" s="130">
        <f t="shared" si="9"/>
        <v>0</v>
      </c>
      <c r="N117" s="130">
        <f t="shared" si="9"/>
        <v>0</v>
      </c>
      <c r="O117" s="132"/>
      <c r="P117" s="123"/>
      <c r="Q117" s="123"/>
      <c r="R117" s="123"/>
    </row>
    <row r="118" spans="1:18" ht="93.75" x14ac:dyDescent="0.3">
      <c r="A118" s="123"/>
      <c r="B118" s="130" t="s">
        <v>740</v>
      </c>
      <c r="C118" s="131" t="s">
        <v>1105</v>
      </c>
      <c r="D118" s="130">
        <f t="shared" si="3"/>
        <v>0</v>
      </c>
      <c r="E118" s="130">
        <f t="shared" si="4"/>
        <v>0</v>
      </c>
      <c r="F118" s="130">
        <f t="shared" si="5"/>
        <v>0</v>
      </c>
      <c r="G118" s="130"/>
      <c r="H118" s="130">
        <f t="shared" si="6"/>
        <v>3</v>
      </c>
      <c r="I118" s="130">
        <f t="shared" si="7"/>
        <v>0</v>
      </c>
      <c r="J118" s="130">
        <f t="shared" si="8"/>
        <v>0</v>
      </c>
      <c r="K118" s="130"/>
      <c r="L118" s="130">
        <f t="shared" si="9"/>
        <v>3</v>
      </c>
      <c r="M118" s="130">
        <f t="shared" si="9"/>
        <v>0</v>
      </c>
      <c r="N118" s="130">
        <f t="shared" si="9"/>
        <v>0</v>
      </c>
      <c r="O118" s="132"/>
      <c r="P118" s="123"/>
      <c r="Q118" s="123"/>
      <c r="R118" s="123"/>
    </row>
    <row r="119" spans="1:18" ht="18.75" x14ac:dyDescent="0.3">
      <c r="A119" s="123"/>
      <c r="B119" s="130">
        <v>7</v>
      </c>
      <c r="C119" s="131" t="s">
        <v>279</v>
      </c>
      <c r="D119" s="130">
        <f t="shared" si="3"/>
        <v>0</v>
      </c>
      <c r="E119" s="130">
        <f t="shared" si="4"/>
        <v>0</v>
      </c>
      <c r="F119" s="130">
        <f t="shared" si="5"/>
        <v>0</v>
      </c>
      <c r="G119" s="130"/>
      <c r="H119" s="130">
        <f t="shared" si="6"/>
        <v>0</v>
      </c>
      <c r="I119" s="130">
        <f t="shared" si="7"/>
        <v>0</v>
      </c>
      <c r="J119" s="130">
        <f t="shared" si="8"/>
        <v>0</v>
      </c>
      <c r="K119" s="130"/>
      <c r="L119" s="130">
        <f t="shared" si="9"/>
        <v>0</v>
      </c>
      <c r="M119" s="130">
        <f t="shared" si="9"/>
        <v>0</v>
      </c>
      <c r="N119" s="130">
        <f t="shared" si="9"/>
        <v>0</v>
      </c>
      <c r="O119" s="132"/>
      <c r="P119" s="123"/>
      <c r="Q119" s="123"/>
      <c r="R119" s="123"/>
    </row>
    <row r="120" spans="1:18" ht="18.75" x14ac:dyDescent="0.3">
      <c r="A120" s="123"/>
      <c r="B120" s="130">
        <v>8</v>
      </c>
      <c r="C120" s="131" t="s">
        <v>741</v>
      </c>
      <c r="D120" s="130">
        <f t="shared" si="3"/>
        <v>0</v>
      </c>
      <c r="E120" s="130">
        <f t="shared" si="4"/>
        <v>0</v>
      </c>
      <c r="F120" s="130">
        <f t="shared" si="5"/>
        <v>0</v>
      </c>
      <c r="G120" s="130"/>
      <c r="H120" s="130">
        <f t="shared" si="6"/>
        <v>0</v>
      </c>
      <c r="I120" s="130">
        <f t="shared" si="7"/>
        <v>0</v>
      </c>
      <c r="J120" s="130">
        <f t="shared" si="8"/>
        <v>0</v>
      </c>
      <c r="K120" s="130"/>
      <c r="L120" s="130">
        <f t="shared" si="9"/>
        <v>0</v>
      </c>
      <c r="M120" s="130">
        <f t="shared" si="9"/>
        <v>0</v>
      </c>
      <c r="N120" s="130">
        <f t="shared" si="9"/>
        <v>0</v>
      </c>
      <c r="O120" s="132"/>
      <c r="P120" s="123"/>
      <c r="Q120" s="123"/>
      <c r="R120" s="123"/>
    </row>
    <row r="121" spans="1:18" ht="18.75" x14ac:dyDescent="0.3">
      <c r="A121" s="123"/>
      <c r="B121" s="130">
        <v>9</v>
      </c>
      <c r="C121" s="131" t="s">
        <v>706</v>
      </c>
      <c r="D121" s="130">
        <f t="shared" si="3"/>
        <v>0</v>
      </c>
      <c r="E121" s="130">
        <f t="shared" si="4"/>
        <v>0</v>
      </c>
      <c r="F121" s="130">
        <f t="shared" si="5"/>
        <v>0</v>
      </c>
      <c r="G121" s="130"/>
      <c r="H121" s="130">
        <f t="shared" si="6"/>
        <v>0</v>
      </c>
      <c r="I121" s="130">
        <f t="shared" si="7"/>
        <v>0</v>
      </c>
      <c r="J121" s="130">
        <f t="shared" si="8"/>
        <v>0</v>
      </c>
      <c r="K121" s="130"/>
      <c r="L121" s="130">
        <f t="shared" si="9"/>
        <v>0</v>
      </c>
      <c r="M121" s="130">
        <f t="shared" si="9"/>
        <v>0</v>
      </c>
      <c r="N121" s="130">
        <f t="shared" si="9"/>
        <v>0</v>
      </c>
      <c r="O121" s="132"/>
      <c r="P121" s="123"/>
      <c r="Q121" s="123"/>
      <c r="R121" s="123"/>
    </row>
    <row r="122" spans="1:18" ht="18.75" x14ac:dyDescent="0.3">
      <c r="A122" s="123"/>
      <c r="B122" s="130">
        <v>10</v>
      </c>
      <c r="C122" s="131" t="s">
        <v>707</v>
      </c>
      <c r="D122" s="130">
        <f t="shared" si="3"/>
        <v>0</v>
      </c>
      <c r="E122" s="130">
        <f t="shared" si="4"/>
        <v>0</v>
      </c>
      <c r="F122" s="130">
        <f t="shared" si="5"/>
        <v>0</v>
      </c>
      <c r="G122" s="130"/>
      <c r="H122" s="130">
        <f t="shared" si="6"/>
        <v>0</v>
      </c>
      <c r="I122" s="130">
        <f t="shared" si="7"/>
        <v>0</v>
      </c>
      <c r="J122" s="130">
        <f t="shared" si="8"/>
        <v>0</v>
      </c>
      <c r="K122" s="130"/>
      <c r="L122" s="130">
        <f t="shared" si="9"/>
        <v>0</v>
      </c>
      <c r="M122" s="130">
        <f t="shared" si="9"/>
        <v>0</v>
      </c>
      <c r="N122" s="130">
        <f t="shared" si="9"/>
        <v>0</v>
      </c>
      <c r="O122" s="132"/>
      <c r="P122" s="123"/>
      <c r="Q122" s="123"/>
      <c r="R122" s="123"/>
    </row>
    <row r="123" spans="1:18" ht="18.75" x14ac:dyDescent="0.3">
      <c r="A123" s="123"/>
      <c r="B123" s="130">
        <v>11</v>
      </c>
      <c r="C123" s="131" t="s">
        <v>708</v>
      </c>
      <c r="D123" s="130">
        <f t="shared" si="3"/>
        <v>0</v>
      </c>
      <c r="E123" s="130">
        <f t="shared" si="4"/>
        <v>0</v>
      </c>
      <c r="F123" s="130">
        <f t="shared" si="5"/>
        <v>0</v>
      </c>
      <c r="G123" s="130"/>
      <c r="H123" s="130">
        <f t="shared" si="6"/>
        <v>0</v>
      </c>
      <c r="I123" s="130">
        <f t="shared" si="7"/>
        <v>0</v>
      </c>
      <c r="J123" s="130">
        <f t="shared" si="8"/>
        <v>0</v>
      </c>
      <c r="K123" s="130"/>
      <c r="L123" s="130">
        <f t="shared" si="9"/>
        <v>0</v>
      </c>
      <c r="M123" s="130">
        <f t="shared" si="9"/>
        <v>0</v>
      </c>
      <c r="N123" s="130">
        <f t="shared" si="9"/>
        <v>0</v>
      </c>
      <c r="O123" s="132"/>
      <c r="P123" s="123"/>
      <c r="Q123" s="123"/>
      <c r="R123" s="123"/>
    </row>
    <row r="124" spans="1:18" ht="18.75" x14ac:dyDescent="0.3">
      <c r="A124" s="123"/>
      <c r="B124" s="130">
        <v>12</v>
      </c>
      <c r="C124" s="131" t="s">
        <v>709</v>
      </c>
      <c r="D124" s="130">
        <f t="shared" si="3"/>
        <v>0</v>
      </c>
      <c r="E124" s="130">
        <f t="shared" si="4"/>
        <v>0</v>
      </c>
      <c r="F124" s="130">
        <f t="shared" si="5"/>
        <v>0</v>
      </c>
      <c r="G124" s="130"/>
      <c r="H124" s="130">
        <f t="shared" si="6"/>
        <v>0</v>
      </c>
      <c r="I124" s="130">
        <f t="shared" si="7"/>
        <v>0</v>
      </c>
      <c r="J124" s="130">
        <f t="shared" si="8"/>
        <v>0</v>
      </c>
      <c r="K124" s="130"/>
      <c r="L124" s="130">
        <f t="shared" si="9"/>
        <v>0</v>
      </c>
      <c r="M124" s="130">
        <f t="shared" si="9"/>
        <v>0</v>
      </c>
      <c r="N124" s="130">
        <f t="shared" si="9"/>
        <v>0</v>
      </c>
      <c r="O124" s="132"/>
      <c r="P124" s="123"/>
      <c r="Q124" s="123"/>
      <c r="R124" s="123"/>
    </row>
    <row r="125" spans="1:18" ht="93.75" x14ac:dyDescent="0.3">
      <c r="A125" s="123"/>
      <c r="B125" s="130">
        <v>13</v>
      </c>
      <c r="C125" s="131" t="s">
        <v>1106</v>
      </c>
      <c r="D125" s="130">
        <f t="shared" si="3"/>
        <v>0</v>
      </c>
      <c r="E125" s="130">
        <f t="shared" si="4"/>
        <v>0</v>
      </c>
      <c r="F125" s="130">
        <f t="shared" si="5"/>
        <v>0</v>
      </c>
      <c r="G125" s="130"/>
      <c r="H125" s="130">
        <f t="shared" si="6"/>
        <v>0</v>
      </c>
      <c r="I125" s="130">
        <f t="shared" si="7"/>
        <v>0</v>
      </c>
      <c r="J125" s="130">
        <f t="shared" si="8"/>
        <v>0</v>
      </c>
      <c r="K125" s="130"/>
      <c r="L125" s="130">
        <f t="shared" si="9"/>
        <v>0</v>
      </c>
      <c r="M125" s="130">
        <f t="shared" si="9"/>
        <v>0</v>
      </c>
      <c r="N125" s="130">
        <f t="shared" si="9"/>
        <v>0</v>
      </c>
      <c r="O125" s="132"/>
      <c r="P125" s="123"/>
      <c r="Q125" s="123"/>
      <c r="R125" s="123"/>
    </row>
    <row r="126" spans="1:18" ht="18.75" x14ac:dyDescent="0.3">
      <c r="A126" s="123"/>
      <c r="B126" s="232" t="s">
        <v>1097</v>
      </c>
      <c r="C126" s="233"/>
      <c r="D126" s="133">
        <f>SUM(D111:D125)</f>
        <v>16</v>
      </c>
      <c r="E126" s="133">
        <f t="shared" ref="E126:N126" si="10">SUM(E111:E125)</f>
        <v>22</v>
      </c>
      <c r="F126" s="133">
        <f t="shared" si="10"/>
        <v>239</v>
      </c>
      <c r="G126" s="133"/>
      <c r="H126" s="133">
        <f t="shared" si="10"/>
        <v>60</v>
      </c>
      <c r="I126" s="133">
        <f t="shared" si="10"/>
        <v>32</v>
      </c>
      <c r="J126" s="133">
        <f t="shared" si="10"/>
        <v>472</v>
      </c>
      <c r="K126" s="133"/>
      <c r="L126" s="133">
        <f t="shared" si="10"/>
        <v>76</v>
      </c>
      <c r="M126" s="133">
        <f t="shared" si="10"/>
        <v>54</v>
      </c>
      <c r="N126" s="133">
        <f t="shared" si="10"/>
        <v>711</v>
      </c>
      <c r="O126" s="124"/>
      <c r="P126" s="123"/>
      <c r="Q126" s="123"/>
      <c r="R126" s="123"/>
    </row>
    <row r="127" spans="1:18" ht="18.75" x14ac:dyDescent="0.3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</row>
    <row r="128" spans="1:18" ht="18.75" x14ac:dyDescent="0.3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</row>
    <row r="129" spans="1:18" ht="18.75" x14ac:dyDescent="0.3">
      <c r="A129" s="123"/>
      <c r="B129" s="123"/>
      <c r="C129" s="234" t="s">
        <v>1107</v>
      </c>
      <c r="D129" s="234"/>
      <c r="E129" s="234"/>
      <c r="F129" s="234"/>
      <c r="G129" s="234"/>
      <c r="H129" s="234"/>
      <c r="I129" s="234"/>
      <c r="J129" s="234"/>
      <c r="K129" s="234"/>
      <c r="L129" s="234"/>
      <c r="M129" s="234"/>
      <c r="N129" s="234"/>
      <c r="O129" s="124"/>
      <c r="P129" s="123"/>
      <c r="Q129" s="123"/>
      <c r="R129" s="123"/>
    </row>
    <row r="130" spans="1:18" ht="18.75" x14ac:dyDescent="0.3">
      <c r="A130" s="134"/>
      <c r="B130" s="134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34"/>
      <c r="Q130" s="134"/>
      <c r="R130" s="134"/>
    </row>
    <row r="131" spans="1:18" ht="18.75" x14ac:dyDescent="0.3">
      <c r="A131" s="134"/>
      <c r="B131" s="238" t="s">
        <v>1096</v>
      </c>
      <c r="C131" s="238" t="s">
        <v>1108</v>
      </c>
      <c r="D131" s="239" t="s">
        <v>621</v>
      </c>
      <c r="E131" s="239"/>
      <c r="F131" s="239"/>
      <c r="G131" s="239"/>
      <c r="H131" s="239"/>
      <c r="I131" s="239"/>
      <c r="J131" s="239"/>
      <c r="K131" s="125"/>
      <c r="L131" s="240" t="s">
        <v>1097</v>
      </c>
      <c r="M131" s="240"/>
      <c r="N131" s="240"/>
      <c r="O131" s="126"/>
      <c r="P131" s="134"/>
      <c r="Q131" s="134"/>
      <c r="R131" s="134"/>
    </row>
    <row r="132" spans="1:18" ht="18.75" x14ac:dyDescent="0.3">
      <c r="A132" s="134"/>
      <c r="B132" s="238"/>
      <c r="C132" s="238"/>
      <c r="D132" s="239" t="s">
        <v>1098</v>
      </c>
      <c r="E132" s="239"/>
      <c r="F132" s="239"/>
      <c r="G132" s="125"/>
      <c r="H132" s="239" t="s">
        <v>1099</v>
      </c>
      <c r="I132" s="239"/>
      <c r="J132" s="239"/>
      <c r="K132" s="125"/>
      <c r="L132" s="240"/>
      <c r="M132" s="240"/>
      <c r="N132" s="240"/>
      <c r="O132" s="126"/>
      <c r="P132" s="134"/>
      <c r="Q132" s="134"/>
      <c r="R132" s="134"/>
    </row>
    <row r="133" spans="1:18" ht="80.25" customHeight="1" x14ac:dyDescent="0.3">
      <c r="A133" s="134"/>
      <c r="B133" s="238"/>
      <c r="C133" s="238"/>
      <c r="D133" s="127" t="s">
        <v>1100</v>
      </c>
      <c r="E133" s="127" t="s">
        <v>1101</v>
      </c>
      <c r="F133" s="127" t="s">
        <v>1102</v>
      </c>
      <c r="G133" s="127"/>
      <c r="H133" s="127" t="s">
        <v>1100</v>
      </c>
      <c r="I133" s="127" t="s">
        <v>1101</v>
      </c>
      <c r="J133" s="127" t="s">
        <v>1102</v>
      </c>
      <c r="K133" s="127"/>
      <c r="L133" s="128" t="s">
        <v>1100</v>
      </c>
      <c r="M133" s="128" t="s">
        <v>1101</v>
      </c>
      <c r="N133" s="128" t="s">
        <v>1102</v>
      </c>
      <c r="O133" s="129"/>
      <c r="P133" s="134"/>
      <c r="Q133" s="134"/>
      <c r="R133" s="134"/>
    </row>
    <row r="134" spans="1:18" ht="18.75" x14ac:dyDescent="0.3">
      <c r="A134" s="134"/>
      <c r="B134" s="130">
        <v>1</v>
      </c>
      <c r="C134" s="131" t="s">
        <v>275</v>
      </c>
      <c r="D134" s="130">
        <f t="shared" ref="D134:D148" si="11">I3</f>
        <v>9</v>
      </c>
      <c r="E134" s="130">
        <f t="shared" ref="E134:E148" si="12">I33</f>
        <v>3</v>
      </c>
      <c r="F134" s="130">
        <f t="shared" ref="F134:F148" si="13">I63</f>
        <v>10</v>
      </c>
      <c r="G134" s="130">
        <f>+D134+E134+F134</f>
        <v>22</v>
      </c>
      <c r="H134" s="130">
        <f t="shared" ref="H134:H148" si="14">I18</f>
        <v>27</v>
      </c>
      <c r="I134" s="130">
        <f t="shared" ref="I134:I148" si="15">I48</f>
        <v>6</v>
      </c>
      <c r="J134" s="130">
        <f t="shared" ref="J134:J148" si="16">I78</f>
        <v>26</v>
      </c>
      <c r="K134" s="130">
        <f>+H134+I134+J134</f>
        <v>59</v>
      </c>
      <c r="L134" s="130">
        <f>D134+H134</f>
        <v>36</v>
      </c>
      <c r="M134" s="130">
        <f>E134+I134</f>
        <v>9</v>
      </c>
      <c r="N134" s="130">
        <f>F134+J134</f>
        <v>36</v>
      </c>
      <c r="O134" s="130">
        <f>+L134+M134+N134</f>
        <v>81</v>
      </c>
      <c r="P134" s="134"/>
      <c r="Q134" s="134">
        <f>+O134+O135</f>
        <v>81</v>
      </c>
      <c r="R134" s="134"/>
    </row>
    <row r="135" spans="1:18" ht="18.75" x14ac:dyDescent="0.3">
      <c r="A135" s="134"/>
      <c r="B135" s="130">
        <v>2</v>
      </c>
      <c r="C135" s="131" t="s">
        <v>276</v>
      </c>
      <c r="D135" s="130">
        <f t="shared" si="11"/>
        <v>0</v>
      </c>
      <c r="E135" s="130">
        <f t="shared" si="12"/>
        <v>0</v>
      </c>
      <c r="F135" s="130">
        <f t="shared" si="13"/>
        <v>0</v>
      </c>
      <c r="G135" s="130">
        <f t="shared" ref="G135:G148" si="17">+D135+E135+F135</f>
        <v>0</v>
      </c>
      <c r="H135" s="130">
        <f t="shared" si="14"/>
        <v>0</v>
      </c>
      <c r="I135" s="130">
        <f t="shared" si="15"/>
        <v>0</v>
      </c>
      <c r="J135" s="130">
        <f t="shared" si="16"/>
        <v>0</v>
      </c>
      <c r="K135" s="130">
        <f t="shared" ref="K135:K148" si="18">+H135+I135+J135</f>
        <v>0</v>
      </c>
      <c r="L135" s="130">
        <f t="shared" ref="L135:N148" si="19">D135+H135</f>
        <v>0</v>
      </c>
      <c r="M135" s="130">
        <f t="shared" si="19"/>
        <v>0</v>
      </c>
      <c r="N135" s="130">
        <f t="shared" si="19"/>
        <v>0</v>
      </c>
      <c r="O135" s="130">
        <f t="shared" ref="O135:O148" si="20">+L135+M135+N135</f>
        <v>0</v>
      </c>
      <c r="P135" s="134"/>
      <c r="Q135" s="134"/>
      <c r="R135" s="134"/>
    </row>
    <row r="136" spans="1:18" ht="37.5" x14ac:dyDescent="0.3">
      <c r="A136" s="134"/>
      <c r="B136" s="130">
        <v>3</v>
      </c>
      <c r="C136" s="131" t="s">
        <v>1103</v>
      </c>
      <c r="D136" s="130">
        <f t="shared" si="11"/>
        <v>0</v>
      </c>
      <c r="E136" s="130">
        <f t="shared" si="12"/>
        <v>0</v>
      </c>
      <c r="F136" s="130">
        <f t="shared" si="13"/>
        <v>0</v>
      </c>
      <c r="G136" s="130">
        <f t="shared" si="17"/>
        <v>0</v>
      </c>
      <c r="H136" s="130">
        <f t="shared" si="14"/>
        <v>0</v>
      </c>
      <c r="I136" s="130">
        <f t="shared" si="15"/>
        <v>0</v>
      </c>
      <c r="J136" s="130">
        <f t="shared" si="16"/>
        <v>0</v>
      </c>
      <c r="K136" s="130">
        <f t="shared" si="18"/>
        <v>0</v>
      </c>
      <c r="L136" s="130">
        <f t="shared" si="19"/>
        <v>0</v>
      </c>
      <c r="M136" s="130">
        <f t="shared" si="19"/>
        <v>0</v>
      </c>
      <c r="N136" s="130">
        <f t="shared" si="19"/>
        <v>0</v>
      </c>
      <c r="O136" s="130">
        <f t="shared" si="20"/>
        <v>0</v>
      </c>
      <c r="P136" s="134"/>
      <c r="Q136" s="134"/>
      <c r="R136" s="134"/>
    </row>
    <row r="137" spans="1:18" ht="37.5" x14ac:dyDescent="0.3">
      <c r="A137" s="134"/>
      <c r="B137" s="130">
        <v>4</v>
      </c>
      <c r="C137" s="131" t="s">
        <v>278</v>
      </c>
      <c r="D137" s="130">
        <f t="shared" si="11"/>
        <v>0</v>
      </c>
      <c r="E137" s="130">
        <f t="shared" si="12"/>
        <v>0</v>
      </c>
      <c r="F137" s="130">
        <f t="shared" si="13"/>
        <v>0</v>
      </c>
      <c r="G137" s="130">
        <f t="shared" si="17"/>
        <v>0</v>
      </c>
      <c r="H137" s="130">
        <f t="shared" si="14"/>
        <v>0</v>
      </c>
      <c r="I137" s="130">
        <f t="shared" si="15"/>
        <v>0</v>
      </c>
      <c r="J137" s="130">
        <f t="shared" si="16"/>
        <v>0</v>
      </c>
      <c r="K137" s="130">
        <f t="shared" si="18"/>
        <v>0</v>
      </c>
      <c r="L137" s="130">
        <f t="shared" si="19"/>
        <v>0</v>
      </c>
      <c r="M137" s="130">
        <f t="shared" si="19"/>
        <v>0</v>
      </c>
      <c r="N137" s="130">
        <f t="shared" si="19"/>
        <v>0</v>
      </c>
      <c r="O137" s="130">
        <f t="shared" si="20"/>
        <v>0</v>
      </c>
      <c r="P137" s="134"/>
      <c r="Q137" s="134"/>
      <c r="R137" s="134"/>
    </row>
    <row r="138" spans="1:18" ht="56.25" x14ac:dyDescent="0.3">
      <c r="A138" s="134"/>
      <c r="B138" s="130" t="s">
        <v>734</v>
      </c>
      <c r="C138" s="131" t="s">
        <v>733</v>
      </c>
      <c r="D138" s="130">
        <f t="shared" si="11"/>
        <v>0</v>
      </c>
      <c r="E138" s="130">
        <f t="shared" si="12"/>
        <v>0</v>
      </c>
      <c r="F138" s="130">
        <f t="shared" si="13"/>
        <v>0</v>
      </c>
      <c r="G138" s="130">
        <f t="shared" si="17"/>
        <v>0</v>
      </c>
      <c r="H138" s="130">
        <f t="shared" si="14"/>
        <v>0</v>
      </c>
      <c r="I138" s="130">
        <f t="shared" si="15"/>
        <v>0</v>
      </c>
      <c r="J138" s="130">
        <f t="shared" si="16"/>
        <v>0</v>
      </c>
      <c r="K138" s="130">
        <f t="shared" si="18"/>
        <v>0</v>
      </c>
      <c r="L138" s="130">
        <f t="shared" si="19"/>
        <v>0</v>
      </c>
      <c r="M138" s="130">
        <f t="shared" si="19"/>
        <v>0</v>
      </c>
      <c r="N138" s="130">
        <f t="shared" si="19"/>
        <v>0</v>
      </c>
      <c r="O138" s="130">
        <f t="shared" si="20"/>
        <v>0</v>
      </c>
      <c r="P138" s="134"/>
      <c r="Q138" s="134">
        <f>+O138+O139</f>
        <v>1</v>
      </c>
      <c r="R138" s="134"/>
    </row>
    <row r="139" spans="1:18" ht="112.5" x14ac:dyDescent="0.3">
      <c r="A139" s="134"/>
      <c r="B139" s="130" t="s">
        <v>736</v>
      </c>
      <c r="C139" s="131" t="s">
        <v>1104</v>
      </c>
      <c r="D139" s="130">
        <f t="shared" si="11"/>
        <v>0</v>
      </c>
      <c r="E139" s="130">
        <f t="shared" si="12"/>
        <v>1</v>
      </c>
      <c r="F139" s="130">
        <f t="shared" si="13"/>
        <v>0</v>
      </c>
      <c r="G139" s="130">
        <f t="shared" si="17"/>
        <v>1</v>
      </c>
      <c r="H139" s="130">
        <f t="shared" si="14"/>
        <v>0</v>
      </c>
      <c r="I139" s="130">
        <f t="shared" si="15"/>
        <v>0</v>
      </c>
      <c r="J139" s="130">
        <f t="shared" si="16"/>
        <v>0</v>
      </c>
      <c r="K139" s="130">
        <f t="shared" si="18"/>
        <v>0</v>
      </c>
      <c r="L139" s="130">
        <f t="shared" si="19"/>
        <v>0</v>
      </c>
      <c r="M139" s="130">
        <f t="shared" si="19"/>
        <v>1</v>
      </c>
      <c r="N139" s="130">
        <f t="shared" si="19"/>
        <v>0</v>
      </c>
      <c r="O139" s="130">
        <f t="shared" si="20"/>
        <v>1</v>
      </c>
      <c r="P139" s="134"/>
      <c r="Q139" s="134"/>
      <c r="R139" s="134"/>
    </row>
    <row r="140" spans="1:18" ht="37.5" x14ac:dyDescent="0.3">
      <c r="A140" s="134"/>
      <c r="B140" s="130" t="s">
        <v>738</v>
      </c>
      <c r="C140" s="131" t="s">
        <v>737</v>
      </c>
      <c r="D140" s="130">
        <f t="shared" si="11"/>
        <v>0</v>
      </c>
      <c r="E140" s="130">
        <f t="shared" si="12"/>
        <v>0</v>
      </c>
      <c r="F140" s="130">
        <f t="shared" si="13"/>
        <v>0</v>
      </c>
      <c r="G140" s="130">
        <f t="shared" si="17"/>
        <v>0</v>
      </c>
      <c r="H140" s="130">
        <f t="shared" si="14"/>
        <v>0</v>
      </c>
      <c r="I140" s="130">
        <f t="shared" si="15"/>
        <v>0</v>
      </c>
      <c r="J140" s="130">
        <f t="shared" si="16"/>
        <v>0</v>
      </c>
      <c r="K140" s="130">
        <f t="shared" si="18"/>
        <v>0</v>
      </c>
      <c r="L140" s="130">
        <f t="shared" si="19"/>
        <v>0</v>
      </c>
      <c r="M140" s="130">
        <f t="shared" si="19"/>
        <v>0</v>
      </c>
      <c r="N140" s="130">
        <f t="shared" si="19"/>
        <v>0</v>
      </c>
      <c r="O140" s="130">
        <f t="shared" si="20"/>
        <v>0</v>
      </c>
      <c r="P140" s="134"/>
      <c r="Q140" s="134">
        <f>+O140+O141</f>
        <v>1</v>
      </c>
      <c r="R140" s="134"/>
    </row>
    <row r="141" spans="1:18" ht="93.75" x14ac:dyDescent="0.3">
      <c r="A141" s="134"/>
      <c r="B141" s="130" t="s">
        <v>740</v>
      </c>
      <c r="C141" s="131" t="s">
        <v>1105</v>
      </c>
      <c r="D141" s="130">
        <f t="shared" si="11"/>
        <v>0</v>
      </c>
      <c r="E141" s="130">
        <f t="shared" si="12"/>
        <v>0</v>
      </c>
      <c r="F141" s="130">
        <f t="shared" si="13"/>
        <v>0</v>
      </c>
      <c r="G141" s="130">
        <f t="shared" si="17"/>
        <v>0</v>
      </c>
      <c r="H141" s="130">
        <f t="shared" si="14"/>
        <v>1</v>
      </c>
      <c r="I141" s="130">
        <f t="shared" si="15"/>
        <v>0</v>
      </c>
      <c r="J141" s="130">
        <f t="shared" si="16"/>
        <v>0</v>
      </c>
      <c r="K141" s="130">
        <f t="shared" si="18"/>
        <v>1</v>
      </c>
      <c r="L141" s="130">
        <f t="shared" si="19"/>
        <v>1</v>
      </c>
      <c r="M141" s="130">
        <f t="shared" si="19"/>
        <v>0</v>
      </c>
      <c r="N141" s="130">
        <f t="shared" si="19"/>
        <v>0</v>
      </c>
      <c r="O141" s="130">
        <f t="shared" si="20"/>
        <v>1</v>
      </c>
      <c r="P141" s="134"/>
      <c r="Q141" s="134"/>
      <c r="R141" s="134"/>
    </row>
    <row r="142" spans="1:18" ht="18.75" x14ac:dyDescent="0.3">
      <c r="A142" s="134"/>
      <c r="B142" s="130">
        <v>7</v>
      </c>
      <c r="C142" s="131" t="s">
        <v>279</v>
      </c>
      <c r="D142" s="130">
        <f t="shared" si="11"/>
        <v>0</v>
      </c>
      <c r="E142" s="130">
        <f t="shared" si="12"/>
        <v>0</v>
      </c>
      <c r="F142" s="130">
        <f t="shared" si="13"/>
        <v>0</v>
      </c>
      <c r="G142" s="130">
        <f t="shared" si="17"/>
        <v>0</v>
      </c>
      <c r="H142" s="130">
        <f t="shared" si="14"/>
        <v>0</v>
      </c>
      <c r="I142" s="130">
        <f t="shared" si="15"/>
        <v>0</v>
      </c>
      <c r="J142" s="130">
        <f t="shared" si="16"/>
        <v>0</v>
      </c>
      <c r="K142" s="130">
        <f t="shared" si="18"/>
        <v>0</v>
      </c>
      <c r="L142" s="130">
        <f t="shared" si="19"/>
        <v>0</v>
      </c>
      <c r="M142" s="130">
        <f t="shared" si="19"/>
        <v>0</v>
      </c>
      <c r="N142" s="130">
        <f t="shared" si="19"/>
        <v>0</v>
      </c>
      <c r="O142" s="130">
        <f t="shared" si="20"/>
        <v>0</v>
      </c>
      <c r="P142" s="134"/>
      <c r="Q142" s="134"/>
      <c r="R142" s="134"/>
    </row>
    <row r="143" spans="1:18" ht="18.75" x14ac:dyDescent="0.3">
      <c r="A143" s="134"/>
      <c r="B143" s="130">
        <v>8</v>
      </c>
      <c r="C143" s="131" t="s">
        <v>741</v>
      </c>
      <c r="D143" s="130">
        <f t="shared" si="11"/>
        <v>0</v>
      </c>
      <c r="E143" s="130">
        <f t="shared" si="12"/>
        <v>0</v>
      </c>
      <c r="F143" s="130">
        <f t="shared" si="13"/>
        <v>0</v>
      </c>
      <c r="G143" s="130">
        <f t="shared" si="17"/>
        <v>0</v>
      </c>
      <c r="H143" s="130">
        <f t="shared" si="14"/>
        <v>0</v>
      </c>
      <c r="I143" s="130">
        <f t="shared" si="15"/>
        <v>0</v>
      </c>
      <c r="J143" s="130">
        <f t="shared" si="16"/>
        <v>0</v>
      </c>
      <c r="K143" s="130">
        <f t="shared" si="18"/>
        <v>0</v>
      </c>
      <c r="L143" s="130">
        <f t="shared" si="19"/>
        <v>0</v>
      </c>
      <c r="M143" s="130">
        <f t="shared" si="19"/>
        <v>0</v>
      </c>
      <c r="N143" s="130">
        <f t="shared" si="19"/>
        <v>0</v>
      </c>
      <c r="O143" s="130">
        <f t="shared" si="20"/>
        <v>0</v>
      </c>
      <c r="P143" s="134"/>
      <c r="Q143" s="134"/>
      <c r="R143" s="134"/>
    </row>
    <row r="144" spans="1:18" ht="18.75" x14ac:dyDescent="0.3">
      <c r="A144" s="134"/>
      <c r="B144" s="130">
        <v>9</v>
      </c>
      <c r="C144" s="131" t="s">
        <v>706</v>
      </c>
      <c r="D144" s="130">
        <f t="shared" si="11"/>
        <v>0</v>
      </c>
      <c r="E144" s="130">
        <f t="shared" si="12"/>
        <v>0</v>
      </c>
      <c r="F144" s="130">
        <f t="shared" si="13"/>
        <v>0</v>
      </c>
      <c r="G144" s="130">
        <f t="shared" si="17"/>
        <v>0</v>
      </c>
      <c r="H144" s="130">
        <f t="shared" si="14"/>
        <v>0</v>
      </c>
      <c r="I144" s="130">
        <f t="shared" si="15"/>
        <v>0</v>
      </c>
      <c r="J144" s="130">
        <f t="shared" si="16"/>
        <v>0</v>
      </c>
      <c r="K144" s="130">
        <f t="shared" si="18"/>
        <v>0</v>
      </c>
      <c r="L144" s="130">
        <f t="shared" si="19"/>
        <v>0</v>
      </c>
      <c r="M144" s="130">
        <f t="shared" si="19"/>
        <v>0</v>
      </c>
      <c r="N144" s="130">
        <f t="shared" si="19"/>
        <v>0</v>
      </c>
      <c r="O144" s="130">
        <f t="shared" si="20"/>
        <v>0</v>
      </c>
      <c r="P144" s="134"/>
      <c r="Q144" s="134"/>
      <c r="R144" s="134"/>
    </row>
    <row r="145" spans="1:18" ht="18.75" x14ac:dyDescent="0.3">
      <c r="A145" s="134"/>
      <c r="B145" s="130">
        <v>10</v>
      </c>
      <c r="C145" s="131" t="s">
        <v>707</v>
      </c>
      <c r="D145" s="130">
        <f t="shared" si="11"/>
        <v>0</v>
      </c>
      <c r="E145" s="130">
        <f t="shared" si="12"/>
        <v>0</v>
      </c>
      <c r="F145" s="130">
        <f t="shared" si="13"/>
        <v>0</v>
      </c>
      <c r="G145" s="130">
        <f t="shared" si="17"/>
        <v>0</v>
      </c>
      <c r="H145" s="130">
        <f t="shared" si="14"/>
        <v>0</v>
      </c>
      <c r="I145" s="130">
        <f t="shared" si="15"/>
        <v>0</v>
      </c>
      <c r="J145" s="130">
        <f t="shared" si="16"/>
        <v>0</v>
      </c>
      <c r="K145" s="130">
        <f t="shared" si="18"/>
        <v>0</v>
      </c>
      <c r="L145" s="130">
        <f t="shared" si="19"/>
        <v>0</v>
      </c>
      <c r="M145" s="130">
        <f t="shared" si="19"/>
        <v>0</v>
      </c>
      <c r="N145" s="130">
        <f t="shared" si="19"/>
        <v>0</v>
      </c>
      <c r="O145" s="130">
        <f t="shared" si="20"/>
        <v>0</v>
      </c>
      <c r="P145" s="134"/>
      <c r="Q145" s="134"/>
      <c r="R145" s="134"/>
    </row>
    <row r="146" spans="1:18" ht="18.75" x14ac:dyDescent="0.3">
      <c r="A146" s="134"/>
      <c r="B146" s="130">
        <v>11</v>
      </c>
      <c r="C146" s="131" t="s">
        <v>708</v>
      </c>
      <c r="D146" s="130">
        <f t="shared" si="11"/>
        <v>0</v>
      </c>
      <c r="E146" s="130">
        <f t="shared" si="12"/>
        <v>0</v>
      </c>
      <c r="F146" s="130">
        <f t="shared" si="13"/>
        <v>0</v>
      </c>
      <c r="G146" s="130">
        <f t="shared" si="17"/>
        <v>0</v>
      </c>
      <c r="H146" s="130">
        <f t="shared" si="14"/>
        <v>0</v>
      </c>
      <c r="I146" s="130">
        <f t="shared" si="15"/>
        <v>0</v>
      </c>
      <c r="J146" s="130">
        <f t="shared" si="16"/>
        <v>0</v>
      </c>
      <c r="K146" s="130">
        <f t="shared" si="18"/>
        <v>0</v>
      </c>
      <c r="L146" s="130">
        <f t="shared" si="19"/>
        <v>0</v>
      </c>
      <c r="M146" s="130">
        <f t="shared" si="19"/>
        <v>0</v>
      </c>
      <c r="N146" s="130">
        <f t="shared" si="19"/>
        <v>0</v>
      </c>
      <c r="O146" s="130">
        <f t="shared" si="20"/>
        <v>0</v>
      </c>
      <c r="P146" s="134"/>
      <c r="Q146" s="134"/>
      <c r="R146" s="134"/>
    </row>
    <row r="147" spans="1:18" ht="18.75" x14ac:dyDescent="0.3">
      <c r="A147" s="134"/>
      <c r="B147" s="130">
        <v>12</v>
      </c>
      <c r="C147" s="131" t="s">
        <v>709</v>
      </c>
      <c r="D147" s="130">
        <f t="shared" si="11"/>
        <v>0</v>
      </c>
      <c r="E147" s="130">
        <f t="shared" si="12"/>
        <v>0</v>
      </c>
      <c r="F147" s="130">
        <f t="shared" si="13"/>
        <v>0</v>
      </c>
      <c r="G147" s="130">
        <f t="shared" si="17"/>
        <v>0</v>
      </c>
      <c r="H147" s="130">
        <f t="shared" si="14"/>
        <v>0</v>
      </c>
      <c r="I147" s="130">
        <f t="shared" si="15"/>
        <v>0</v>
      </c>
      <c r="J147" s="130">
        <f t="shared" si="16"/>
        <v>0</v>
      </c>
      <c r="K147" s="130">
        <f t="shared" si="18"/>
        <v>0</v>
      </c>
      <c r="L147" s="130">
        <f t="shared" si="19"/>
        <v>0</v>
      </c>
      <c r="M147" s="130">
        <f t="shared" si="19"/>
        <v>0</v>
      </c>
      <c r="N147" s="130">
        <f t="shared" si="19"/>
        <v>0</v>
      </c>
      <c r="O147" s="130">
        <f t="shared" si="20"/>
        <v>0</v>
      </c>
      <c r="P147" s="134"/>
      <c r="Q147" s="134"/>
      <c r="R147" s="134"/>
    </row>
    <row r="148" spans="1:18" ht="93.75" x14ac:dyDescent="0.3">
      <c r="A148" s="134"/>
      <c r="B148" s="130">
        <v>13</v>
      </c>
      <c r="C148" s="131" t="s">
        <v>1106</v>
      </c>
      <c r="D148" s="130">
        <f t="shared" si="11"/>
        <v>0</v>
      </c>
      <c r="E148" s="130">
        <f t="shared" si="12"/>
        <v>0</v>
      </c>
      <c r="F148" s="130">
        <f t="shared" si="13"/>
        <v>0</v>
      </c>
      <c r="G148" s="130">
        <f t="shared" si="17"/>
        <v>0</v>
      </c>
      <c r="H148" s="130">
        <f t="shared" si="14"/>
        <v>0</v>
      </c>
      <c r="I148" s="130">
        <f t="shared" si="15"/>
        <v>0</v>
      </c>
      <c r="J148" s="130">
        <f t="shared" si="16"/>
        <v>0</v>
      </c>
      <c r="K148" s="130">
        <f t="shared" si="18"/>
        <v>0</v>
      </c>
      <c r="L148" s="130">
        <f t="shared" si="19"/>
        <v>0</v>
      </c>
      <c r="M148" s="130">
        <f t="shared" si="19"/>
        <v>0</v>
      </c>
      <c r="N148" s="130">
        <f t="shared" si="19"/>
        <v>0</v>
      </c>
      <c r="O148" s="130">
        <f t="shared" si="20"/>
        <v>0</v>
      </c>
      <c r="P148" s="134"/>
      <c r="Q148" s="134"/>
      <c r="R148" s="134"/>
    </row>
    <row r="149" spans="1:18" ht="18.75" x14ac:dyDescent="0.3">
      <c r="A149" s="134"/>
      <c r="B149" s="232" t="s">
        <v>1097</v>
      </c>
      <c r="C149" s="233"/>
      <c r="D149" s="135">
        <f>SUM(D134:D148)</f>
        <v>9</v>
      </c>
      <c r="E149" s="135">
        <f t="shared" ref="E149:O149" si="21">SUM(E134:E148)</f>
        <v>4</v>
      </c>
      <c r="F149" s="135">
        <f t="shared" si="21"/>
        <v>10</v>
      </c>
      <c r="G149" s="135">
        <f t="shared" si="21"/>
        <v>23</v>
      </c>
      <c r="H149" s="135">
        <f t="shared" si="21"/>
        <v>28</v>
      </c>
      <c r="I149" s="135">
        <f t="shared" si="21"/>
        <v>6</v>
      </c>
      <c r="J149" s="135">
        <f t="shared" si="21"/>
        <v>26</v>
      </c>
      <c r="K149" s="135">
        <f t="shared" si="21"/>
        <v>60</v>
      </c>
      <c r="L149" s="135">
        <f t="shared" si="21"/>
        <v>37</v>
      </c>
      <c r="M149" s="135">
        <f t="shared" si="21"/>
        <v>10</v>
      </c>
      <c r="N149" s="135">
        <f t="shared" si="21"/>
        <v>36</v>
      </c>
      <c r="O149" s="135">
        <f t="shared" si="21"/>
        <v>83</v>
      </c>
      <c r="P149" s="136"/>
      <c r="Q149" s="134"/>
      <c r="R149" s="134"/>
    </row>
    <row r="150" spans="1:18" ht="18.75" x14ac:dyDescent="0.3">
      <c r="A150" s="134"/>
      <c r="B150" s="134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34"/>
      <c r="Q150" s="134"/>
      <c r="R150" s="134"/>
    </row>
    <row r="151" spans="1:18" ht="18.75" x14ac:dyDescent="0.3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</row>
    <row r="152" spans="1:18" ht="18.75" x14ac:dyDescent="0.3">
      <c r="A152" s="123"/>
      <c r="B152" s="123"/>
      <c r="C152" s="234" t="s">
        <v>1109</v>
      </c>
      <c r="D152" s="234"/>
      <c r="E152" s="234"/>
      <c r="F152" s="234"/>
      <c r="G152" s="234"/>
      <c r="H152" s="234"/>
      <c r="I152" s="234"/>
      <c r="J152" s="234"/>
      <c r="K152" s="234"/>
      <c r="L152" s="234"/>
      <c r="M152" s="234"/>
      <c r="N152" s="234"/>
      <c r="O152" s="124"/>
      <c r="P152" s="123"/>
      <c r="Q152" s="123"/>
      <c r="R152" s="123"/>
    </row>
    <row r="153" spans="1:18" ht="18.75" x14ac:dyDescent="0.3">
      <c r="A153" s="134"/>
      <c r="B153" s="134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34"/>
      <c r="Q153" s="134"/>
      <c r="R153" s="134"/>
    </row>
    <row r="154" spans="1:18" ht="18.75" x14ac:dyDescent="0.3">
      <c r="A154" s="134"/>
      <c r="B154" s="238" t="s">
        <v>1096</v>
      </c>
      <c r="C154" s="238" t="s">
        <v>1108</v>
      </c>
      <c r="D154" s="239" t="s">
        <v>621</v>
      </c>
      <c r="E154" s="239"/>
      <c r="F154" s="239"/>
      <c r="G154" s="239"/>
      <c r="H154" s="239"/>
      <c r="I154" s="239"/>
      <c r="J154" s="239"/>
      <c r="K154" s="125"/>
      <c r="L154" s="240" t="s">
        <v>1097</v>
      </c>
      <c r="M154" s="240"/>
      <c r="N154" s="240"/>
      <c r="O154" s="126"/>
      <c r="P154" s="134"/>
      <c r="Q154" s="134"/>
      <c r="R154" s="134"/>
    </row>
    <row r="155" spans="1:18" ht="18.75" x14ac:dyDescent="0.3">
      <c r="A155" s="134"/>
      <c r="B155" s="238"/>
      <c r="C155" s="238"/>
      <c r="D155" s="239" t="s">
        <v>1098</v>
      </c>
      <c r="E155" s="239"/>
      <c r="F155" s="239"/>
      <c r="G155" s="125"/>
      <c r="H155" s="239" t="s">
        <v>1099</v>
      </c>
      <c r="I155" s="239"/>
      <c r="J155" s="239"/>
      <c r="K155" s="125"/>
      <c r="L155" s="240"/>
      <c r="M155" s="240"/>
      <c r="N155" s="240"/>
      <c r="O155" s="126"/>
      <c r="P155" s="134"/>
      <c r="Q155" s="134"/>
      <c r="R155" s="134"/>
    </row>
    <row r="156" spans="1:18" ht="80.25" customHeight="1" x14ac:dyDescent="0.3">
      <c r="A156" s="134"/>
      <c r="B156" s="238"/>
      <c r="C156" s="238"/>
      <c r="D156" s="127" t="s">
        <v>1100</v>
      </c>
      <c r="E156" s="127" t="s">
        <v>1101</v>
      </c>
      <c r="F156" s="127" t="s">
        <v>1102</v>
      </c>
      <c r="G156" s="127"/>
      <c r="H156" s="127" t="s">
        <v>1100</v>
      </c>
      <c r="I156" s="127" t="s">
        <v>1101</v>
      </c>
      <c r="J156" s="127" t="s">
        <v>1102</v>
      </c>
      <c r="K156" s="127"/>
      <c r="L156" s="128" t="s">
        <v>1100</v>
      </c>
      <c r="M156" s="128" t="s">
        <v>1101</v>
      </c>
      <c r="N156" s="128" t="s">
        <v>1102</v>
      </c>
      <c r="O156" s="129"/>
      <c r="P156" s="134"/>
      <c r="Q156" s="134"/>
      <c r="R156" s="134"/>
    </row>
    <row r="157" spans="1:18" ht="18.75" x14ac:dyDescent="0.3">
      <c r="A157" s="134"/>
      <c r="B157" s="130">
        <v>1</v>
      </c>
      <c r="C157" s="131" t="s">
        <v>275</v>
      </c>
      <c r="D157" s="130">
        <f>K3</f>
        <v>0</v>
      </c>
      <c r="E157" s="130">
        <f>K33</f>
        <v>0</v>
      </c>
      <c r="F157" s="130">
        <f>K63</f>
        <v>0</v>
      </c>
      <c r="G157" s="130"/>
      <c r="H157" s="130">
        <f>K18</f>
        <v>0</v>
      </c>
      <c r="I157" s="130">
        <f>K48</f>
        <v>0</v>
      </c>
      <c r="J157" s="130">
        <f>K78</f>
        <v>0</v>
      </c>
      <c r="K157" s="130"/>
      <c r="L157" s="130">
        <f>D157+H157</f>
        <v>0</v>
      </c>
      <c r="M157" s="130">
        <f>E157+I157</f>
        <v>0</v>
      </c>
      <c r="N157" s="130">
        <f>F157+J157</f>
        <v>0</v>
      </c>
      <c r="O157" s="132"/>
      <c r="P157" s="134"/>
      <c r="Q157" s="134"/>
      <c r="R157" s="134"/>
    </row>
    <row r="158" spans="1:18" ht="18.75" x14ac:dyDescent="0.3">
      <c r="A158" s="134"/>
      <c r="B158" s="130">
        <v>2</v>
      </c>
      <c r="C158" s="131" t="s">
        <v>276</v>
      </c>
      <c r="D158" s="130">
        <f t="shared" ref="D158:D171" si="22">K4</f>
        <v>0</v>
      </c>
      <c r="E158" s="130">
        <f t="shared" ref="E158:E171" si="23">K34</f>
        <v>0</v>
      </c>
      <c r="F158" s="130">
        <f t="shared" ref="F158:F171" si="24">K64</f>
        <v>0</v>
      </c>
      <c r="G158" s="130"/>
      <c r="H158" s="130">
        <f t="shared" ref="H158:H171" si="25">K19</f>
        <v>0</v>
      </c>
      <c r="I158" s="130">
        <f t="shared" ref="I158:I171" si="26">K49</f>
        <v>0</v>
      </c>
      <c r="J158" s="130">
        <f t="shared" ref="J158:J171" si="27">K79</f>
        <v>0</v>
      </c>
      <c r="K158" s="130"/>
      <c r="L158" s="130">
        <f t="shared" ref="L158:N171" si="28">D158+H158</f>
        <v>0</v>
      </c>
      <c r="M158" s="130">
        <f t="shared" si="28"/>
        <v>0</v>
      </c>
      <c r="N158" s="130">
        <f t="shared" si="28"/>
        <v>0</v>
      </c>
      <c r="O158" s="132"/>
      <c r="P158" s="134"/>
      <c r="Q158" s="134"/>
      <c r="R158" s="134"/>
    </row>
    <row r="159" spans="1:18" ht="37.5" x14ac:dyDescent="0.3">
      <c r="A159" s="134"/>
      <c r="B159" s="130">
        <v>3</v>
      </c>
      <c r="C159" s="131" t="s">
        <v>1103</v>
      </c>
      <c r="D159" s="130">
        <f t="shared" si="22"/>
        <v>0</v>
      </c>
      <c r="E159" s="130">
        <f t="shared" si="23"/>
        <v>0</v>
      </c>
      <c r="F159" s="130">
        <f t="shared" si="24"/>
        <v>0</v>
      </c>
      <c r="G159" s="130"/>
      <c r="H159" s="130">
        <f t="shared" si="25"/>
        <v>0</v>
      </c>
      <c r="I159" s="130">
        <f t="shared" si="26"/>
        <v>0</v>
      </c>
      <c r="J159" s="130">
        <f t="shared" si="27"/>
        <v>0</v>
      </c>
      <c r="K159" s="130"/>
      <c r="L159" s="130">
        <f t="shared" si="28"/>
        <v>0</v>
      </c>
      <c r="M159" s="130">
        <f t="shared" si="28"/>
        <v>0</v>
      </c>
      <c r="N159" s="130">
        <f t="shared" si="28"/>
        <v>0</v>
      </c>
      <c r="O159" s="132"/>
      <c r="P159" s="134"/>
      <c r="Q159" s="134"/>
      <c r="R159" s="134"/>
    </row>
    <row r="160" spans="1:18" ht="37.5" x14ac:dyDescent="0.3">
      <c r="A160" s="134"/>
      <c r="B160" s="130">
        <v>4</v>
      </c>
      <c r="C160" s="131" t="s">
        <v>278</v>
      </c>
      <c r="D160" s="130">
        <f t="shared" si="22"/>
        <v>0</v>
      </c>
      <c r="E160" s="130">
        <f t="shared" si="23"/>
        <v>0</v>
      </c>
      <c r="F160" s="130">
        <f t="shared" si="24"/>
        <v>0</v>
      </c>
      <c r="G160" s="130"/>
      <c r="H160" s="130">
        <f t="shared" si="25"/>
        <v>0</v>
      </c>
      <c r="I160" s="130">
        <f t="shared" si="26"/>
        <v>0</v>
      </c>
      <c r="J160" s="130">
        <f t="shared" si="27"/>
        <v>0</v>
      </c>
      <c r="K160" s="130"/>
      <c r="L160" s="130">
        <f t="shared" si="28"/>
        <v>0</v>
      </c>
      <c r="M160" s="130">
        <f t="shared" si="28"/>
        <v>0</v>
      </c>
      <c r="N160" s="130">
        <f t="shared" si="28"/>
        <v>0</v>
      </c>
      <c r="O160" s="132"/>
      <c r="P160" s="134"/>
      <c r="Q160" s="134"/>
      <c r="R160" s="134"/>
    </row>
    <row r="161" spans="1:18" ht="56.25" x14ac:dyDescent="0.3">
      <c r="A161" s="134"/>
      <c r="B161" s="130" t="s">
        <v>734</v>
      </c>
      <c r="C161" s="131" t="s">
        <v>733</v>
      </c>
      <c r="D161" s="130">
        <f t="shared" si="22"/>
        <v>0</v>
      </c>
      <c r="E161" s="130">
        <f t="shared" si="23"/>
        <v>0</v>
      </c>
      <c r="F161" s="130">
        <f t="shared" si="24"/>
        <v>0</v>
      </c>
      <c r="G161" s="130"/>
      <c r="H161" s="130">
        <f t="shared" si="25"/>
        <v>0</v>
      </c>
      <c r="I161" s="130">
        <f t="shared" si="26"/>
        <v>0</v>
      </c>
      <c r="J161" s="130">
        <f t="shared" si="27"/>
        <v>0</v>
      </c>
      <c r="K161" s="130"/>
      <c r="L161" s="130">
        <f t="shared" si="28"/>
        <v>0</v>
      </c>
      <c r="M161" s="130">
        <f t="shared" si="28"/>
        <v>0</v>
      </c>
      <c r="N161" s="130">
        <f t="shared" si="28"/>
        <v>0</v>
      </c>
      <c r="O161" s="132"/>
      <c r="P161" s="134"/>
      <c r="Q161" s="134"/>
      <c r="R161" s="134"/>
    </row>
    <row r="162" spans="1:18" ht="112.5" x14ac:dyDescent="0.3">
      <c r="A162" s="134"/>
      <c r="B162" s="130" t="s">
        <v>736</v>
      </c>
      <c r="C162" s="131" t="s">
        <v>1104</v>
      </c>
      <c r="D162" s="130">
        <f t="shared" si="22"/>
        <v>0</v>
      </c>
      <c r="E162" s="130">
        <f t="shared" si="23"/>
        <v>0</v>
      </c>
      <c r="F162" s="130">
        <f t="shared" si="24"/>
        <v>0</v>
      </c>
      <c r="G162" s="130"/>
      <c r="H162" s="130">
        <f t="shared" si="25"/>
        <v>0</v>
      </c>
      <c r="I162" s="130">
        <f t="shared" si="26"/>
        <v>0</v>
      </c>
      <c r="J162" s="130">
        <f t="shared" si="27"/>
        <v>0</v>
      </c>
      <c r="K162" s="130"/>
      <c r="L162" s="130">
        <f t="shared" si="28"/>
        <v>0</v>
      </c>
      <c r="M162" s="130">
        <f t="shared" si="28"/>
        <v>0</v>
      </c>
      <c r="N162" s="130">
        <f t="shared" si="28"/>
        <v>0</v>
      </c>
      <c r="O162" s="132"/>
      <c r="P162" s="134"/>
      <c r="Q162" s="134"/>
      <c r="R162" s="134"/>
    </row>
    <row r="163" spans="1:18" ht="37.5" x14ac:dyDescent="0.3">
      <c r="A163" s="134"/>
      <c r="B163" s="130" t="s">
        <v>738</v>
      </c>
      <c r="C163" s="131" t="s">
        <v>737</v>
      </c>
      <c r="D163" s="130">
        <f t="shared" si="22"/>
        <v>0</v>
      </c>
      <c r="E163" s="130">
        <f t="shared" si="23"/>
        <v>0</v>
      </c>
      <c r="F163" s="130">
        <f t="shared" si="24"/>
        <v>0</v>
      </c>
      <c r="G163" s="130"/>
      <c r="H163" s="130">
        <f t="shared" si="25"/>
        <v>0</v>
      </c>
      <c r="I163" s="130">
        <f t="shared" si="26"/>
        <v>0</v>
      </c>
      <c r="J163" s="130">
        <f t="shared" si="27"/>
        <v>0</v>
      </c>
      <c r="K163" s="130"/>
      <c r="L163" s="130">
        <f t="shared" si="28"/>
        <v>0</v>
      </c>
      <c r="M163" s="130">
        <f t="shared" si="28"/>
        <v>0</v>
      </c>
      <c r="N163" s="130">
        <f t="shared" si="28"/>
        <v>0</v>
      </c>
      <c r="O163" s="132"/>
      <c r="P163" s="134"/>
      <c r="Q163" s="134"/>
      <c r="R163" s="134"/>
    </row>
    <row r="164" spans="1:18" ht="93.75" x14ac:dyDescent="0.3">
      <c r="A164" s="134"/>
      <c r="B164" s="130" t="s">
        <v>740</v>
      </c>
      <c r="C164" s="131" t="s">
        <v>1105</v>
      </c>
      <c r="D164" s="130">
        <f t="shared" si="22"/>
        <v>0</v>
      </c>
      <c r="E164" s="130">
        <f t="shared" si="23"/>
        <v>0</v>
      </c>
      <c r="F164" s="130">
        <f t="shared" si="24"/>
        <v>0</v>
      </c>
      <c r="G164" s="130"/>
      <c r="H164" s="130">
        <f t="shared" si="25"/>
        <v>1</v>
      </c>
      <c r="I164" s="130">
        <f t="shared" si="26"/>
        <v>0</v>
      </c>
      <c r="J164" s="130">
        <f t="shared" si="27"/>
        <v>0</v>
      </c>
      <c r="K164" s="130"/>
      <c r="L164" s="130">
        <f t="shared" si="28"/>
        <v>1</v>
      </c>
      <c r="M164" s="130">
        <f t="shared" si="28"/>
        <v>0</v>
      </c>
      <c r="N164" s="130">
        <f t="shared" si="28"/>
        <v>0</v>
      </c>
      <c r="O164" s="132"/>
      <c r="P164" s="134"/>
      <c r="Q164" s="134"/>
      <c r="R164" s="134"/>
    </row>
    <row r="165" spans="1:18" ht="18.75" x14ac:dyDescent="0.3">
      <c r="A165" s="134"/>
      <c r="B165" s="130">
        <v>7</v>
      </c>
      <c r="C165" s="131" t="s">
        <v>279</v>
      </c>
      <c r="D165" s="130">
        <f t="shared" si="22"/>
        <v>0</v>
      </c>
      <c r="E165" s="130">
        <f t="shared" si="23"/>
        <v>0</v>
      </c>
      <c r="F165" s="130">
        <f t="shared" si="24"/>
        <v>0</v>
      </c>
      <c r="G165" s="130"/>
      <c r="H165" s="130">
        <f t="shared" si="25"/>
        <v>0</v>
      </c>
      <c r="I165" s="130">
        <f t="shared" si="26"/>
        <v>0</v>
      </c>
      <c r="J165" s="130">
        <f t="shared" si="27"/>
        <v>0</v>
      </c>
      <c r="K165" s="130"/>
      <c r="L165" s="130">
        <f t="shared" si="28"/>
        <v>0</v>
      </c>
      <c r="M165" s="130">
        <f t="shared" si="28"/>
        <v>0</v>
      </c>
      <c r="N165" s="130">
        <f t="shared" si="28"/>
        <v>0</v>
      </c>
      <c r="O165" s="132"/>
      <c r="P165" s="134"/>
      <c r="Q165" s="134"/>
      <c r="R165" s="134"/>
    </row>
    <row r="166" spans="1:18" ht="18.75" x14ac:dyDescent="0.3">
      <c r="A166" s="134"/>
      <c r="B166" s="130">
        <v>8</v>
      </c>
      <c r="C166" s="131" t="s">
        <v>741</v>
      </c>
      <c r="D166" s="130">
        <f t="shared" si="22"/>
        <v>0</v>
      </c>
      <c r="E166" s="130">
        <f t="shared" si="23"/>
        <v>0</v>
      </c>
      <c r="F166" s="130">
        <f t="shared" si="24"/>
        <v>0</v>
      </c>
      <c r="G166" s="130"/>
      <c r="H166" s="130">
        <f t="shared" si="25"/>
        <v>0</v>
      </c>
      <c r="I166" s="130">
        <f t="shared" si="26"/>
        <v>0</v>
      </c>
      <c r="J166" s="130">
        <f t="shared" si="27"/>
        <v>0</v>
      </c>
      <c r="K166" s="130"/>
      <c r="L166" s="130">
        <f t="shared" si="28"/>
        <v>0</v>
      </c>
      <c r="M166" s="130">
        <f t="shared" si="28"/>
        <v>0</v>
      </c>
      <c r="N166" s="130">
        <f t="shared" si="28"/>
        <v>0</v>
      </c>
      <c r="O166" s="132"/>
      <c r="P166" s="134"/>
      <c r="Q166" s="134"/>
      <c r="R166" s="134"/>
    </row>
    <row r="167" spans="1:18" ht="18.75" x14ac:dyDescent="0.3">
      <c r="A167" s="134"/>
      <c r="B167" s="130">
        <v>9</v>
      </c>
      <c r="C167" s="131" t="s">
        <v>706</v>
      </c>
      <c r="D167" s="130">
        <f t="shared" si="22"/>
        <v>0</v>
      </c>
      <c r="E167" s="130">
        <f t="shared" si="23"/>
        <v>0</v>
      </c>
      <c r="F167" s="130">
        <f t="shared" si="24"/>
        <v>0</v>
      </c>
      <c r="G167" s="130"/>
      <c r="H167" s="130">
        <f t="shared" si="25"/>
        <v>0</v>
      </c>
      <c r="I167" s="130">
        <f t="shared" si="26"/>
        <v>0</v>
      </c>
      <c r="J167" s="130">
        <f t="shared" si="27"/>
        <v>0</v>
      </c>
      <c r="K167" s="130"/>
      <c r="L167" s="130">
        <f t="shared" si="28"/>
        <v>0</v>
      </c>
      <c r="M167" s="130">
        <f t="shared" si="28"/>
        <v>0</v>
      </c>
      <c r="N167" s="130">
        <f t="shared" si="28"/>
        <v>0</v>
      </c>
      <c r="O167" s="132"/>
      <c r="P167" s="134"/>
      <c r="Q167" s="134"/>
      <c r="R167" s="134"/>
    </row>
    <row r="168" spans="1:18" ht="18.75" x14ac:dyDescent="0.3">
      <c r="A168" s="134"/>
      <c r="B168" s="130">
        <v>10</v>
      </c>
      <c r="C168" s="131" t="s">
        <v>707</v>
      </c>
      <c r="D168" s="130">
        <f t="shared" si="22"/>
        <v>0</v>
      </c>
      <c r="E168" s="130">
        <f t="shared" si="23"/>
        <v>0</v>
      </c>
      <c r="F168" s="130">
        <f t="shared" si="24"/>
        <v>0</v>
      </c>
      <c r="G168" s="130"/>
      <c r="H168" s="130">
        <f t="shared" si="25"/>
        <v>0</v>
      </c>
      <c r="I168" s="130">
        <f t="shared" si="26"/>
        <v>0</v>
      </c>
      <c r="J168" s="130">
        <f t="shared" si="27"/>
        <v>0</v>
      </c>
      <c r="K168" s="130"/>
      <c r="L168" s="130">
        <f t="shared" si="28"/>
        <v>0</v>
      </c>
      <c r="M168" s="130">
        <f t="shared" si="28"/>
        <v>0</v>
      </c>
      <c r="N168" s="130">
        <f t="shared" si="28"/>
        <v>0</v>
      </c>
      <c r="O168" s="132"/>
      <c r="P168" s="134"/>
      <c r="Q168" s="134"/>
      <c r="R168" s="134"/>
    </row>
    <row r="169" spans="1:18" ht="18.75" x14ac:dyDescent="0.3">
      <c r="A169" s="134"/>
      <c r="B169" s="130">
        <v>11</v>
      </c>
      <c r="C169" s="131" t="s">
        <v>708</v>
      </c>
      <c r="D169" s="130">
        <f t="shared" si="22"/>
        <v>0</v>
      </c>
      <c r="E169" s="130">
        <f t="shared" si="23"/>
        <v>0</v>
      </c>
      <c r="F169" s="130">
        <f t="shared" si="24"/>
        <v>0</v>
      </c>
      <c r="G169" s="130"/>
      <c r="H169" s="130">
        <f t="shared" si="25"/>
        <v>0</v>
      </c>
      <c r="I169" s="130">
        <f t="shared" si="26"/>
        <v>0</v>
      </c>
      <c r="J169" s="130">
        <f t="shared" si="27"/>
        <v>0</v>
      </c>
      <c r="K169" s="130"/>
      <c r="L169" s="130">
        <f t="shared" si="28"/>
        <v>0</v>
      </c>
      <c r="M169" s="130">
        <f t="shared" si="28"/>
        <v>0</v>
      </c>
      <c r="N169" s="130">
        <f t="shared" si="28"/>
        <v>0</v>
      </c>
      <c r="O169" s="132"/>
      <c r="P169" s="134"/>
      <c r="Q169" s="134"/>
      <c r="R169" s="134"/>
    </row>
    <row r="170" spans="1:18" ht="18.75" x14ac:dyDescent="0.3">
      <c r="A170" s="134"/>
      <c r="B170" s="130">
        <v>12</v>
      </c>
      <c r="C170" s="131" t="s">
        <v>709</v>
      </c>
      <c r="D170" s="130">
        <f t="shared" si="22"/>
        <v>0</v>
      </c>
      <c r="E170" s="130">
        <f t="shared" si="23"/>
        <v>0</v>
      </c>
      <c r="F170" s="130">
        <f t="shared" si="24"/>
        <v>0</v>
      </c>
      <c r="G170" s="130"/>
      <c r="H170" s="130">
        <f t="shared" si="25"/>
        <v>0</v>
      </c>
      <c r="I170" s="130">
        <f t="shared" si="26"/>
        <v>0</v>
      </c>
      <c r="J170" s="130">
        <f t="shared" si="27"/>
        <v>0</v>
      </c>
      <c r="K170" s="130"/>
      <c r="L170" s="130">
        <f t="shared" si="28"/>
        <v>0</v>
      </c>
      <c r="M170" s="130">
        <f t="shared" si="28"/>
        <v>0</v>
      </c>
      <c r="N170" s="130">
        <f t="shared" si="28"/>
        <v>0</v>
      </c>
      <c r="O170" s="132"/>
      <c r="P170" s="134"/>
      <c r="Q170" s="134"/>
      <c r="R170" s="134"/>
    </row>
    <row r="171" spans="1:18" ht="93.75" x14ac:dyDescent="0.3">
      <c r="A171" s="134"/>
      <c r="B171" s="130">
        <v>13</v>
      </c>
      <c r="C171" s="131" t="s">
        <v>1106</v>
      </c>
      <c r="D171" s="130">
        <f t="shared" si="22"/>
        <v>0</v>
      </c>
      <c r="E171" s="130">
        <f t="shared" si="23"/>
        <v>0</v>
      </c>
      <c r="F171" s="130">
        <f t="shared" si="24"/>
        <v>0</v>
      </c>
      <c r="G171" s="130"/>
      <c r="H171" s="130">
        <f t="shared" si="25"/>
        <v>0</v>
      </c>
      <c r="I171" s="130">
        <f t="shared" si="26"/>
        <v>0</v>
      </c>
      <c r="J171" s="130">
        <f t="shared" si="27"/>
        <v>0</v>
      </c>
      <c r="K171" s="130"/>
      <c r="L171" s="130">
        <f t="shared" si="28"/>
        <v>0</v>
      </c>
      <c r="M171" s="130">
        <f t="shared" si="28"/>
        <v>0</v>
      </c>
      <c r="N171" s="130">
        <f t="shared" si="28"/>
        <v>0</v>
      </c>
      <c r="O171" s="132"/>
      <c r="P171" s="134"/>
      <c r="Q171" s="134"/>
      <c r="R171" s="134"/>
    </row>
    <row r="172" spans="1:18" ht="18.75" x14ac:dyDescent="0.3">
      <c r="A172" s="134"/>
      <c r="B172" s="232" t="s">
        <v>1097</v>
      </c>
      <c r="C172" s="233"/>
      <c r="D172" s="135">
        <f>SUM(D157:D171)</f>
        <v>0</v>
      </c>
      <c r="E172" s="135">
        <f t="shared" ref="E172:F172" si="29">SUM(E157:E171)</f>
        <v>0</v>
      </c>
      <c r="F172" s="135">
        <f t="shared" si="29"/>
        <v>0</v>
      </c>
      <c r="G172" s="135"/>
      <c r="H172" s="135">
        <f t="shared" ref="H172:J172" si="30">SUM(H157:H171)</f>
        <v>1</v>
      </c>
      <c r="I172" s="135">
        <f t="shared" si="30"/>
        <v>0</v>
      </c>
      <c r="J172" s="135">
        <f t="shared" si="30"/>
        <v>0</v>
      </c>
      <c r="K172" s="135"/>
      <c r="L172" s="135">
        <f t="shared" ref="L172:N172" si="31">SUM(L157:L171)</f>
        <v>1</v>
      </c>
      <c r="M172" s="135">
        <f t="shared" si="31"/>
        <v>0</v>
      </c>
      <c r="N172" s="135">
        <f t="shared" si="31"/>
        <v>0</v>
      </c>
      <c r="O172" s="136"/>
      <c r="P172" s="136"/>
      <c r="Q172" s="134"/>
      <c r="R172" s="134"/>
    </row>
    <row r="173" spans="1:18" ht="18.75" x14ac:dyDescent="0.3">
      <c r="A173" s="134"/>
      <c r="B173" s="134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34"/>
      <c r="Q173" s="134"/>
      <c r="R173" s="134"/>
    </row>
    <row r="174" spans="1:18" ht="18.75" x14ac:dyDescent="0.3">
      <c r="B174"/>
      <c r="C174" s="234" t="s">
        <v>1110</v>
      </c>
      <c r="D174" s="234"/>
      <c r="E174" s="234"/>
      <c r="F174" s="234"/>
      <c r="G174" s="234"/>
      <c r="H174" s="234"/>
      <c r="I174" s="234"/>
      <c r="J174" s="234"/>
      <c r="K174" s="234"/>
      <c r="L174" s="234"/>
      <c r="M174" s="234"/>
      <c r="N174" s="234"/>
      <c r="O174" s="124"/>
    </row>
    <row r="175" spans="1:18" ht="15.75" x14ac:dyDescent="0.25">
      <c r="A175" s="137"/>
      <c r="B175" s="137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7"/>
      <c r="Q175" s="137"/>
    </row>
    <row r="176" spans="1:18" ht="15.75" x14ac:dyDescent="0.25">
      <c r="A176" s="137"/>
      <c r="B176" s="235" t="s">
        <v>1096</v>
      </c>
      <c r="C176" s="235" t="s">
        <v>1108</v>
      </c>
      <c r="D176" s="236" t="s">
        <v>621</v>
      </c>
      <c r="E176" s="236"/>
      <c r="F176" s="236"/>
      <c r="G176" s="236"/>
      <c r="H176" s="236"/>
      <c r="I176" s="236"/>
      <c r="J176" s="236"/>
      <c r="K176" s="139"/>
      <c r="L176" s="237" t="s">
        <v>1097</v>
      </c>
      <c r="M176" s="237"/>
      <c r="N176" s="237"/>
      <c r="O176" s="140"/>
      <c r="P176" s="137"/>
      <c r="Q176" s="137"/>
    </row>
    <row r="177" spans="1:17" ht="15.75" x14ac:dyDescent="0.25">
      <c r="A177" s="137"/>
      <c r="B177" s="235"/>
      <c r="C177" s="235"/>
      <c r="D177" s="236" t="s">
        <v>1098</v>
      </c>
      <c r="E177" s="236"/>
      <c r="F177" s="236"/>
      <c r="G177" s="139"/>
      <c r="H177" s="236" t="s">
        <v>1099</v>
      </c>
      <c r="I177" s="236"/>
      <c r="J177" s="236"/>
      <c r="K177" s="139"/>
      <c r="L177" s="237"/>
      <c r="M177" s="237"/>
      <c r="N177" s="237"/>
      <c r="O177" s="140"/>
      <c r="P177" s="137"/>
      <c r="Q177" s="137"/>
    </row>
    <row r="178" spans="1:17" ht="93" customHeight="1" x14ac:dyDescent="0.25">
      <c r="A178" s="137"/>
      <c r="B178" s="235"/>
      <c r="C178" s="235"/>
      <c r="D178" s="141" t="s">
        <v>1100</v>
      </c>
      <c r="E178" s="141" t="s">
        <v>1101</v>
      </c>
      <c r="F178" s="141" t="s">
        <v>1102</v>
      </c>
      <c r="G178" s="141"/>
      <c r="H178" s="141" t="s">
        <v>1100</v>
      </c>
      <c r="I178" s="141" t="s">
        <v>1101</v>
      </c>
      <c r="J178" s="141" t="s">
        <v>1102</v>
      </c>
      <c r="K178" s="141"/>
      <c r="L178" s="142" t="s">
        <v>1100</v>
      </c>
      <c r="M178" s="142" t="s">
        <v>1101</v>
      </c>
      <c r="N178" s="142" t="s">
        <v>1102</v>
      </c>
      <c r="O178" s="143"/>
      <c r="P178" s="137"/>
      <c r="Q178" s="137"/>
    </row>
    <row r="179" spans="1:17" ht="15.75" x14ac:dyDescent="0.25">
      <c r="A179" s="137"/>
      <c r="B179" s="144">
        <v>1</v>
      </c>
      <c r="C179" s="145" t="s">
        <v>275</v>
      </c>
      <c r="D179" s="146">
        <f t="shared" ref="D179:D193" si="32">J3</f>
        <v>0</v>
      </c>
      <c r="E179" s="146">
        <f t="shared" ref="E179:E193" si="33">J33</f>
        <v>0</v>
      </c>
      <c r="F179" s="146">
        <f t="shared" ref="F179:F193" si="34">J63</f>
        <v>0</v>
      </c>
      <c r="G179" s="146"/>
      <c r="H179" s="146">
        <f t="shared" ref="H179:H193" si="35">J18</f>
        <v>0</v>
      </c>
      <c r="I179" s="146">
        <f t="shared" ref="I179:I193" si="36">J48</f>
        <v>0</v>
      </c>
      <c r="J179" s="146">
        <f t="shared" ref="J179:J193" si="37">J78</f>
        <v>0</v>
      </c>
      <c r="K179" s="146"/>
      <c r="L179" s="146">
        <f>D179+H179</f>
        <v>0</v>
      </c>
      <c r="M179" s="146">
        <f>E179+I179</f>
        <v>0</v>
      </c>
      <c r="N179" s="146">
        <f>F179+J179</f>
        <v>0</v>
      </c>
      <c r="O179" s="147"/>
      <c r="P179" s="137"/>
      <c r="Q179" s="137"/>
    </row>
    <row r="180" spans="1:17" ht="15.75" x14ac:dyDescent="0.25">
      <c r="A180" s="137"/>
      <c r="B180" s="144">
        <v>2</v>
      </c>
      <c r="C180" s="145" t="s">
        <v>276</v>
      </c>
      <c r="D180" s="146">
        <f t="shared" si="32"/>
        <v>0</v>
      </c>
      <c r="E180" s="146">
        <f t="shared" si="33"/>
        <v>0</v>
      </c>
      <c r="F180" s="146">
        <f t="shared" si="34"/>
        <v>0</v>
      </c>
      <c r="G180" s="146"/>
      <c r="H180" s="146">
        <f t="shared" si="35"/>
        <v>0</v>
      </c>
      <c r="I180" s="146">
        <f t="shared" si="36"/>
        <v>0</v>
      </c>
      <c r="J180" s="146">
        <f t="shared" si="37"/>
        <v>0</v>
      </c>
      <c r="K180" s="146"/>
      <c r="L180" s="146">
        <f t="shared" ref="L180:N193" si="38">D180+H180</f>
        <v>0</v>
      </c>
      <c r="M180" s="146">
        <f t="shared" si="38"/>
        <v>0</v>
      </c>
      <c r="N180" s="146">
        <f t="shared" si="38"/>
        <v>0</v>
      </c>
      <c r="O180" s="147"/>
      <c r="P180" s="137"/>
      <c r="Q180" s="137"/>
    </row>
    <row r="181" spans="1:17" ht="15.75" x14ac:dyDescent="0.25">
      <c r="A181" s="137"/>
      <c r="B181" s="144">
        <v>3</v>
      </c>
      <c r="C181" s="145" t="s">
        <v>1103</v>
      </c>
      <c r="D181" s="146">
        <f t="shared" si="32"/>
        <v>0</v>
      </c>
      <c r="E181" s="146">
        <f t="shared" si="33"/>
        <v>0</v>
      </c>
      <c r="F181" s="146">
        <f t="shared" si="34"/>
        <v>0</v>
      </c>
      <c r="G181" s="146"/>
      <c r="H181" s="146">
        <f t="shared" si="35"/>
        <v>0</v>
      </c>
      <c r="I181" s="146">
        <f t="shared" si="36"/>
        <v>0</v>
      </c>
      <c r="J181" s="146">
        <f t="shared" si="37"/>
        <v>0</v>
      </c>
      <c r="K181" s="146"/>
      <c r="L181" s="146">
        <f t="shared" si="38"/>
        <v>0</v>
      </c>
      <c r="M181" s="146">
        <f t="shared" si="38"/>
        <v>0</v>
      </c>
      <c r="N181" s="146">
        <f t="shared" si="38"/>
        <v>0</v>
      </c>
      <c r="O181" s="147"/>
      <c r="P181" s="137"/>
      <c r="Q181" s="137"/>
    </row>
    <row r="182" spans="1:17" ht="31.5" x14ac:dyDescent="0.25">
      <c r="A182" s="137"/>
      <c r="B182" s="144">
        <v>4</v>
      </c>
      <c r="C182" s="145" t="s">
        <v>278</v>
      </c>
      <c r="D182" s="146">
        <f t="shared" si="32"/>
        <v>0</v>
      </c>
      <c r="E182" s="146">
        <f t="shared" si="33"/>
        <v>0</v>
      </c>
      <c r="F182" s="146">
        <f t="shared" si="34"/>
        <v>0</v>
      </c>
      <c r="G182" s="146"/>
      <c r="H182" s="146">
        <f t="shared" si="35"/>
        <v>0</v>
      </c>
      <c r="I182" s="146">
        <f t="shared" si="36"/>
        <v>0</v>
      </c>
      <c r="J182" s="146">
        <f t="shared" si="37"/>
        <v>0</v>
      </c>
      <c r="K182" s="146"/>
      <c r="L182" s="146">
        <f t="shared" si="38"/>
        <v>0</v>
      </c>
      <c r="M182" s="146">
        <f t="shared" si="38"/>
        <v>0</v>
      </c>
      <c r="N182" s="146">
        <f t="shared" si="38"/>
        <v>0</v>
      </c>
      <c r="O182" s="147"/>
      <c r="P182" s="137"/>
      <c r="Q182" s="137"/>
    </row>
    <row r="183" spans="1:17" ht="31.5" x14ac:dyDescent="0.25">
      <c r="A183" s="137"/>
      <c r="B183" s="144" t="s">
        <v>734</v>
      </c>
      <c r="C183" s="145" t="s">
        <v>733</v>
      </c>
      <c r="D183" s="146">
        <f t="shared" si="32"/>
        <v>0</v>
      </c>
      <c r="E183" s="146">
        <f t="shared" si="33"/>
        <v>0</v>
      </c>
      <c r="F183" s="146">
        <f t="shared" si="34"/>
        <v>0</v>
      </c>
      <c r="G183" s="146"/>
      <c r="H183" s="146">
        <f t="shared" si="35"/>
        <v>0</v>
      </c>
      <c r="I183" s="146">
        <f t="shared" si="36"/>
        <v>0</v>
      </c>
      <c r="J183" s="146">
        <f t="shared" si="37"/>
        <v>0</v>
      </c>
      <c r="K183" s="146"/>
      <c r="L183" s="146">
        <f t="shared" si="38"/>
        <v>0</v>
      </c>
      <c r="M183" s="146">
        <f t="shared" si="38"/>
        <v>0</v>
      </c>
      <c r="N183" s="146">
        <f t="shared" si="38"/>
        <v>0</v>
      </c>
      <c r="O183" s="147"/>
      <c r="P183" s="137"/>
      <c r="Q183" s="137"/>
    </row>
    <row r="184" spans="1:17" ht="63" x14ac:dyDescent="0.25">
      <c r="A184" s="137"/>
      <c r="B184" s="144" t="s">
        <v>736</v>
      </c>
      <c r="C184" s="145" t="s">
        <v>1104</v>
      </c>
      <c r="D184" s="146">
        <f t="shared" si="32"/>
        <v>0</v>
      </c>
      <c r="E184" s="146">
        <f t="shared" si="33"/>
        <v>0</v>
      </c>
      <c r="F184" s="146">
        <f t="shared" si="34"/>
        <v>0</v>
      </c>
      <c r="G184" s="146"/>
      <c r="H184" s="146">
        <f t="shared" si="35"/>
        <v>0</v>
      </c>
      <c r="I184" s="146">
        <f t="shared" si="36"/>
        <v>0</v>
      </c>
      <c r="J184" s="146">
        <f t="shared" si="37"/>
        <v>0</v>
      </c>
      <c r="K184" s="146"/>
      <c r="L184" s="146">
        <f t="shared" si="38"/>
        <v>0</v>
      </c>
      <c r="M184" s="146">
        <f t="shared" si="38"/>
        <v>0</v>
      </c>
      <c r="N184" s="146">
        <f t="shared" si="38"/>
        <v>0</v>
      </c>
      <c r="O184" s="147"/>
      <c r="P184" s="137"/>
      <c r="Q184" s="137"/>
    </row>
    <row r="185" spans="1:17" ht="31.5" x14ac:dyDescent="0.25">
      <c r="A185" s="137"/>
      <c r="B185" s="144" t="s">
        <v>738</v>
      </c>
      <c r="C185" s="145" t="s">
        <v>737</v>
      </c>
      <c r="D185" s="146">
        <f t="shared" si="32"/>
        <v>0</v>
      </c>
      <c r="E185" s="146">
        <f t="shared" si="33"/>
        <v>0</v>
      </c>
      <c r="F185" s="146">
        <f t="shared" si="34"/>
        <v>0</v>
      </c>
      <c r="G185" s="146"/>
      <c r="H185" s="146">
        <f t="shared" si="35"/>
        <v>0</v>
      </c>
      <c r="I185" s="146">
        <f t="shared" si="36"/>
        <v>0</v>
      </c>
      <c r="J185" s="146">
        <f t="shared" si="37"/>
        <v>0</v>
      </c>
      <c r="K185" s="146"/>
      <c r="L185" s="146">
        <f t="shared" si="38"/>
        <v>0</v>
      </c>
      <c r="M185" s="146">
        <f t="shared" si="38"/>
        <v>0</v>
      </c>
      <c r="N185" s="146">
        <f t="shared" si="38"/>
        <v>0</v>
      </c>
      <c r="O185" s="147"/>
      <c r="P185" s="137"/>
      <c r="Q185" s="137"/>
    </row>
    <row r="186" spans="1:17" ht="63" x14ac:dyDescent="0.25">
      <c r="A186" s="137"/>
      <c r="B186" s="144" t="s">
        <v>740</v>
      </c>
      <c r="C186" s="145" t="s">
        <v>1105</v>
      </c>
      <c r="D186" s="146">
        <f t="shared" si="32"/>
        <v>0</v>
      </c>
      <c r="E186" s="146">
        <f t="shared" si="33"/>
        <v>0</v>
      </c>
      <c r="F186" s="146">
        <f t="shared" si="34"/>
        <v>0</v>
      </c>
      <c r="G186" s="146"/>
      <c r="H186" s="146">
        <f t="shared" si="35"/>
        <v>267468</v>
      </c>
      <c r="I186" s="146">
        <f t="shared" si="36"/>
        <v>0</v>
      </c>
      <c r="J186" s="146">
        <f t="shared" si="37"/>
        <v>0</v>
      </c>
      <c r="K186" s="146"/>
      <c r="L186" s="146">
        <f t="shared" si="38"/>
        <v>267468</v>
      </c>
      <c r="M186" s="146">
        <f t="shared" si="38"/>
        <v>0</v>
      </c>
      <c r="N186" s="146">
        <f t="shared" si="38"/>
        <v>0</v>
      </c>
      <c r="O186" s="147"/>
      <c r="P186" s="137"/>
      <c r="Q186" s="137"/>
    </row>
    <row r="187" spans="1:17" ht="15.75" x14ac:dyDescent="0.25">
      <c r="A187" s="137"/>
      <c r="B187" s="144">
        <v>7</v>
      </c>
      <c r="C187" s="145" t="s">
        <v>279</v>
      </c>
      <c r="D187" s="146">
        <f t="shared" si="32"/>
        <v>0</v>
      </c>
      <c r="E187" s="146">
        <f t="shared" si="33"/>
        <v>0</v>
      </c>
      <c r="F187" s="146">
        <f t="shared" si="34"/>
        <v>0</v>
      </c>
      <c r="G187" s="146"/>
      <c r="H187" s="146">
        <f t="shared" si="35"/>
        <v>0</v>
      </c>
      <c r="I187" s="146">
        <f t="shared" si="36"/>
        <v>0</v>
      </c>
      <c r="J187" s="146">
        <f t="shared" si="37"/>
        <v>0</v>
      </c>
      <c r="K187" s="146"/>
      <c r="L187" s="146">
        <f t="shared" si="38"/>
        <v>0</v>
      </c>
      <c r="M187" s="146">
        <f t="shared" si="38"/>
        <v>0</v>
      </c>
      <c r="N187" s="146">
        <f t="shared" si="38"/>
        <v>0</v>
      </c>
      <c r="O187" s="147"/>
      <c r="P187" s="137"/>
      <c r="Q187" s="137"/>
    </row>
    <row r="188" spans="1:17" ht="15.75" x14ac:dyDescent="0.25">
      <c r="A188" s="137"/>
      <c r="B188" s="144">
        <v>8</v>
      </c>
      <c r="C188" s="145" t="s">
        <v>741</v>
      </c>
      <c r="D188" s="146">
        <f t="shared" si="32"/>
        <v>0</v>
      </c>
      <c r="E188" s="146">
        <f t="shared" si="33"/>
        <v>0</v>
      </c>
      <c r="F188" s="146">
        <f t="shared" si="34"/>
        <v>0</v>
      </c>
      <c r="G188" s="146"/>
      <c r="H188" s="146">
        <f t="shared" si="35"/>
        <v>0</v>
      </c>
      <c r="I188" s="146">
        <f t="shared" si="36"/>
        <v>0</v>
      </c>
      <c r="J188" s="146">
        <f t="shared" si="37"/>
        <v>0</v>
      </c>
      <c r="K188" s="146"/>
      <c r="L188" s="146">
        <f t="shared" si="38"/>
        <v>0</v>
      </c>
      <c r="M188" s="146">
        <f t="shared" si="38"/>
        <v>0</v>
      </c>
      <c r="N188" s="146">
        <f t="shared" si="38"/>
        <v>0</v>
      </c>
      <c r="O188" s="147"/>
      <c r="P188" s="137"/>
      <c r="Q188" s="137"/>
    </row>
    <row r="189" spans="1:17" ht="15.75" x14ac:dyDescent="0.25">
      <c r="A189" s="137"/>
      <c r="B189" s="144">
        <v>9</v>
      </c>
      <c r="C189" s="145" t="s">
        <v>706</v>
      </c>
      <c r="D189" s="146">
        <f t="shared" si="32"/>
        <v>0</v>
      </c>
      <c r="E189" s="146">
        <f t="shared" si="33"/>
        <v>0</v>
      </c>
      <c r="F189" s="146">
        <f t="shared" si="34"/>
        <v>0</v>
      </c>
      <c r="G189" s="146"/>
      <c r="H189" s="146">
        <f t="shared" si="35"/>
        <v>0</v>
      </c>
      <c r="I189" s="146">
        <f t="shared" si="36"/>
        <v>0</v>
      </c>
      <c r="J189" s="146">
        <f t="shared" si="37"/>
        <v>0</v>
      </c>
      <c r="K189" s="146"/>
      <c r="L189" s="146">
        <f t="shared" si="38"/>
        <v>0</v>
      </c>
      <c r="M189" s="146">
        <f t="shared" si="38"/>
        <v>0</v>
      </c>
      <c r="N189" s="146">
        <f t="shared" si="38"/>
        <v>0</v>
      </c>
      <c r="O189" s="147"/>
      <c r="P189" s="137"/>
      <c r="Q189" s="137"/>
    </row>
    <row r="190" spans="1:17" ht="15.75" x14ac:dyDescent="0.25">
      <c r="A190" s="137"/>
      <c r="B190" s="144">
        <v>10</v>
      </c>
      <c r="C190" s="145" t="s">
        <v>707</v>
      </c>
      <c r="D190" s="146">
        <f t="shared" si="32"/>
        <v>0</v>
      </c>
      <c r="E190" s="146">
        <f t="shared" si="33"/>
        <v>0</v>
      </c>
      <c r="F190" s="146">
        <f t="shared" si="34"/>
        <v>0</v>
      </c>
      <c r="G190" s="146"/>
      <c r="H190" s="146">
        <f t="shared" si="35"/>
        <v>0</v>
      </c>
      <c r="I190" s="146">
        <f t="shared" si="36"/>
        <v>0</v>
      </c>
      <c r="J190" s="146">
        <f t="shared" si="37"/>
        <v>0</v>
      </c>
      <c r="K190" s="146"/>
      <c r="L190" s="146">
        <f t="shared" si="38"/>
        <v>0</v>
      </c>
      <c r="M190" s="146">
        <f t="shared" si="38"/>
        <v>0</v>
      </c>
      <c r="N190" s="146">
        <f t="shared" si="38"/>
        <v>0</v>
      </c>
      <c r="O190" s="147"/>
      <c r="P190" s="137"/>
      <c r="Q190" s="137"/>
    </row>
    <row r="191" spans="1:17" ht="15.75" x14ac:dyDescent="0.25">
      <c r="A191" s="137"/>
      <c r="B191" s="144">
        <v>11</v>
      </c>
      <c r="C191" s="145" t="s">
        <v>708</v>
      </c>
      <c r="D191" s="146">
        <f t="shared" si="32"/>
        <v>0</v>
      </c>
      <c r="E191" s="146">
        <f t="shared" si="33"/>
        <v>0</v>
      </c>
      <c r="F191" s="146">
        <f t="shared" si="34"/>
        <v>0</v>
      </c>
      <c r="G191" s="146"/>
      <c r="H191" s="146">
        <f t="shared" si="35"/>
        <v>0</v>
      </c>
      <c r="I191" s="146">
        <f t="shared" si="36"/>
        <v>0</v>
      </c>
      <c r="J191" s="146">
        <f t="shared" si="37"/>
        <v>0</v>
      </c>
      <c r="K191" s="146"/>
      <c r="L191" s="146">
        <f t="shared" si="38"/>
        <v>0</v>
      </c>
      <c r="M191" s="146">
        <f t="shared" si="38"/>
        <v>0</v>
      </c>
      <c r="N191" s="146">
        <f t="shared" si="38"/>
        <v>0</v>
      </c>
      <c r="O191" s="147"/>
      <c r="P191" s="137"/>
      <c r="Q191" s="137"/>
    </row>
    <row r="192" spans="1:17" ht="15.75" x14ac:dyDescent="0.25">
      <c r="A192" s="137"/>
      <c r="B192" s="144">
        <v>12</v>
      </c>
      <c r="C192" s="145" t="s">
        <v>709</v>
      </c>
      <c r="D192" s="146">
        <f t="shared" si="32"/>
        <v>0</v>
      </c>
      <c r="E192" s="146">
        <f t="shared" si="33"/>
        <v>0</v>
      </c>
      <c r="F192" s="146">
        <f t="shared" si="34"/>
        <v>0</v>
      </c>
      <c r="G192" s="146"/>
      <c r="H192" s="146">
        <f t="shared" si="35"/>
        <v>0</v>
      </c>
      <c r="I192" s="146">
        <f t="shared" si="36"/>
        <v>0</v>
      </c>
      <c r="J192" s="146">
        <f t="shared" si="37"/>
        <v>0</v>
      </c>
      <c r="K192" s="146"/>
      <c r="L192" s="146">
        <f t="shared" si="38"/>
        <v>0</v>
      </c>
      <c r="M192" s="146">
        <f t="shared" si="38"/>
        <v>0</v>
      </c>
      <c r="N192" s="146">
        <f t="shared" si="38"/>
        <v>0</v>
      </c>
      <c r="O192" s="147"/>
      <c r="P192" s="137"/>
      <c r="Q192" s="137"/>
    </row>
    <row r="193" spans="1:54" ht="63" x14ac:dyDescent="0.25">
      <c r="A193" s="137"/>
      <c r="B193" s="144">
        <v>13</v>
      </c>
      <c r="C193" s="145" t="s">
        <v>1106</v>
      </c>
      <c r="D193" s="146">
        <f t="shared" si="32"/>
        <v>0</v>
      </c>
      <c r="E193" s="146">
        <f t="shared" si="33"/>
        <v>0</v>
      </c>
      <c r="F193" s="146">
        <f t="shared" si="34"/>
        <v>0</v>
      </c>
      <c r="G193" s="146"/>
      <c r="H193" s="146">
        <f t="shared" si="35"/>
        <v>0</v>
      </c>
      <c r="I193" s="146">
        <f t="shared" si="36"/>
        <v>0</v>
      </c>
      <c r="J193" s="146">
        <f t="shared" si="37"/>
        <v>0</v>
      </c>
      <c r="K193" s="146"/>
      <c r="L193" s="146">
        <f t="shared" si="38"/>
        <v>0</v>
      </c>
      <c r="M193" s="146">
        <f t="shared" si="38"/>
        <v>0</v>
      </c>
      <c r="N193" s="146">
        <f t="shared" si="38"/>
        <v>0</v>
      </c>
      <c r="O193" s="147"/>
      <c r="P193" s="137"/>
      <c r="Q193" s="137"/>
    </row>
    <row r="194" spans="1:54" ht="15.75" x14ac:dyDescent="0.25">
      <c r="A194" s="137"/>
      <c r="B194" s="230" t="s">
        <v>1097</v>
      </c>
      <c r="C194" s="231"/>
      <c r="D194" s="148">
        <f>SUM(D179:D193)</f>
        <v>0</v>
      </c>
      <c r="E194" s="148">
        <f t="shared" ref="E194:F194" si="39">SUM(E179:E193)</f>
        <v>0</v>
      </c>
      <c r="F194" s="148">
        <f t="shared" si="39"/>
        <v>0</v>
      </c>
      <c r="G194" s="148"/>
      <c r="H194" s="148">
        <f t="shared" ref="H194:J194" si="40">SUM(H179:H193)</f>
        <v>267468</v>
      </c>
      <c r="I194" s="148">
        <f t="shared" si="40"/>
        <v>0</v>
      </c>
      <c r="J194" s="148">
        <f t="shared" si="40"/>
        <v>0</v>
      </c>
      <c r="K194" s="148"/>
      <c r="L194" s="148">
        <f t="shared" ref="L194:N194" si="41">SUM(L179:L193)</f>
        <v>267468</v>
      </c>
      <c r="M194" s="148">
        <f t="shared" si="41"/>
        <v>0</v>
      </c>
      <c r="N194" s="148">
        <f t="shared" si="41"/>
        <v>0</v>
      </c>
      <c r="O194" s="149"/>
      <c r="P194" s="150"/>
      <c r="Q194" s="137"/>
    </row>
    <row r="195" spans="1:54" ht="15.75" x14ac:dyDescent="0.25">
      <c r="A195" s="137"/>
      <c r="B195" s="151"/>
      <c r="C195" s="151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</row>
    <row r="196" spans="1:54" ht="15.75" x14ac:dyDescent="0.25">
      <c r="A196" s="137"/>
      <c r="B196" s="151"/>
      <c r="C196" s="151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</row>
    <row r="197" spans="1:54" ht="15.75" x14ac:dyDescent="0.25">
      <c r="A197" s="137"/>
      <c r="B197" s="151"/>
      <c r="C197" s="152" t="s">
        <v>1111</v>
      </c>
      <c r="D197" s="153" t="s">
        <v>272</v>
      </c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BB197" t="s">
        <v>261</v>
      </c>
    </row>
    <row r="198" spans="1:54" x14ac:dyDescent="0.25">
      <c r="BB198" t="s">
        <v>264</v>
      </c>
    </row>
    <row r="199" spans="1:54" x14ac:dyDescent="0.25">
      <c r="A199" s="154"/>
      <c r="B199" s="155"/>
      <c r="P199" s="154"/>
      <c r="BB199" t="s">
        <v>267</v>
      </c>
    </row>
    <row r="200" spans="1:54" ht="18.75" x14ac:dyDescent="0.3">
      <c r="A200" s="154"/>
      <c r="B200" s="156"/>
      <c r="P200" s="154"/>
      <c r="BB200" t="s">
        <v>272</v>
      </c>
    </row>
    <row r="201" spans="1:54" ht="10.5" customHeight="1" x14ac:dyDescent="0.3">
      <c r="A201" s="154"/>
      <c r="B201" s="156"/>
      <c r="P201" s="154"/>
    </row>
    <row r="202" spans="1:54" x14ac:dyDescent="0.25">
      <c r="A202" s="154"/>
      <c r="B202" s="229" t="s">
        <v>1096</v>
      </c>
      <c r="P202" s="154"/>
    </row>
    <row r="203" spans="1:54" x14ac:dyDescent="0.25">
      <c r="A203" s="154"/>
      <c r="B203" s="229"/>
      <c r="P203" s="154"/>
    </row>
    <row r="204" spans="1:54" ht="69" customHeight="1" x14ac:dyDescent="0.25">
      <c r="A204" s="154"/>
      <c r="B204" s="229"/>
      <c r="P204" s="154"/>
    </row>
    <row r="205" spans="1:54" ht="18" customHeight="1" x14ac:dyDescent="0.25">
      <c r="A205" s="154"/>
      <c r="B205" s="158" t="s">
        <v>1118</v>
      </c>
      <c r="P205" s="154"/>
    </row>
    <row r="206" spans="1:54" ht="18" customHeight="1" x14ac:dyDescent="0.25">
      <c r="A206" s="154"/>
      <c r="B206" s="164">
        <v>3</v>
      </c>
      <c r="P206" s="154"/>
    </row>
    <row r="207" spans="1:54" ht="18" customHeight="1" x14ac:dyDescent="0.25">
      <c r="A207" s="154"/>
      <c r="B207" s="164">
        <v>4</v>
      </c>
      <c r="P207" s="154"/>
    </row>
    <row r="208" spans="1:54" ht="18" customHeight="1" x14ac:dyDescent="0.25">
      <c r="A208" s="154"/>
      <c r="B208" s="164">
        <v>5</v>
      </c>
      <c r="P208" s="154"/>
    </row>
    <row r="209" spans="1:16" ht="18" customHeight="1" x14ac:dyDescent="0.25">
      <c r="A209" s="154"/>
      <c r="B209" s="164">
        <v>6</v>
      </c>
      <c r="P209" s="154"/>
    </row>
    <row r="210" spans="1:16" ht="18" customHeight="1" x14ac:dyDescent="0.25">
      <c r="A210" s="154"/>
      <c r="B210" s="164">
        <v>7</v>
      </c>
      <c r="P210" s="154"/>
    </row>
    <row r="211" spans="1:16" ht="18" customHeight="1" x14ac:dyDescent="0.25">
      <c r="A211" s="154"/>
      <c r="B211" s="170" t="s">
        <v>1121</v>
      </c>
      <c r="P211" s="154"/>
    </row>
    <row r="212" spans="1:16" ht="19.5" customHeight="1" x14ac:dyDescent="0.25">
      <c r="A212" s="154"/>
      <c r="B212" s="171"/>
      <c r="P212" s="154"/>
    </row>
    <row r="213" spans="1:16" ht="19.5" customHeight="1" x14ac:dyDescent="0.25">
      <c r="A213" s="154"/>
      <c r="B213" s="172"/>
      <c r="P213" s="154"/>
    </row>
    <row r="214" spans="1:16" x14ac:dyDescent="0.25">
      <c r="A214" s="154"/>
      <c r="B214" s="155"/>
      <c r="P214" s="154"/>
    </row>
    <row r="215" spans="1:16" ht="18.75" x14ac:dyDescent="0.3">
      <c r="A215" s="154"/>
      <c r="B215" s="156"/>
      <c r="P215" s="154"/>
    </row>
    <row r="216" spans="1:16" ht="10.5" customHeight="1" x14ac:dyDescent="0.25">
      <c r="A216" s="154"/>
      <c r="B216" s="155"/>
      <c r="P216" s="154"/>
    </row>
    <row r="217" spans="1:16" x14ac:dyDescent="0.25">
      <c r="A217" s="154"/>
      <c r="B217" s="229" t="s">
        <v>1096</v>
      </c>
      <c r="P217" s="154"/>
    </row>
    <row r="218" spans="1:16" x14ac:dyDescent="0.25">
      <c r="A218" s="154"/>
      <c r="B218" s="229"/>
      <c r="P218" s="154"/>
    </row>
    <row r="219" spans="1:16" ht="69" customHeight="1" x14ac:dyDescent="0.25">
      <c r="A219" s="154"/>
      <c r="B219" s="229"/>
      <c r="P219" s="154"/>
    </row>
    <row r="220" spans="1:16" ht="18" customHeight="1" x14ac:dyDescent="0.25">
      <c r="A220" s="154"/>
      <c r="B220" s="173" t="s">
        <v>1118</v>
      </c>
      <c r="P220" s="154"/>
    </row>
    <row r="221" spans="1:16" ht="18" customHeight="1" x14ac:dyDescent="0.25">
      <c r="A221" s="154"/>
      <c r="B221" s="174">
        <v>3</v>
      </c>
      <c r="P221" s="154"/>
    </row>
    <row r="222" spans="1:16" ht="18" customHeight="1" x14ac:dyDescent="0.25">
      <c r="A222" s="154"/>
      <c r="B222" s="174">
        <v>4</v>
      </c>
      <c r="P222" s="154"/>
    </row>
    <row r="223" spans="1:16" ht="18" customHeight="1" x14ac:dyDescent="0.25">
      <c r="A223" s="154"/>
      <c r="B223" s="174">
        <v>5</v>
      </c>
      <c r="P223" s="154"/>
    </row>
    <row r="224" spans="1:16" ht="18" customHeight="1" x14ac:dyDescent="0.25">
      <c r="A224" s="154"/>
      <c r="B224" s="174">
        <v>6</v>
      </c>
      <c r="P224" s="154"/>
    </row>
    <row r="225" spans="1:16" ht="18" customHeight="1" x14ac:dyDescent="0.25">
      <c r="A225" s="154"/>
      <c r="B225" s="174">
        <v>7</v>
      </c>
      <c r="P225" s="154"/>
    </row>
    <row r="226" spans="1:16" ht="18" customHeight="1" x14ac:dyDescent="0.25">
      <c r="A226" s="154"/>
      <c r="B226" s="175" t="s">
        <v>1121</v>
      </c>
      <c r="P226" s="154"/>
    </row>
    <row r="227" spans="1:16" ht="19.5" customHeight="1" x14ac:dyDescent="0.25">
      <c r="A227" s="154"/>
      <c r="B227" s="171"/>
      <c r="P227" s="154"/>
    </row>
    <row r="228" spans="1:16" ht="15.75" x14ac:dyDescent="0.25">
      <c r="A228" s="154"/>
      <c r="B228" s="176"/>
      <c r="P228" s="154"/>
    </row>
    <row r="229" spans="1:16" x14ac:dyDescent="0.25">
      <c r="A229" s="154"/>
      <c r="B229" s="155"/>
      <c r="P229" s="154"/>
    </row>
    <row r="230" spans="1:16" ht="18.75" x14ac:dyDescent="0.3">
      <c r="A230" s="154"/>
      <c r="B230" s="156"/>
      <c r="P230" s="154"/>
    </row>
    <row r="231" spans="1:16" x14ac:dyDescent="0.25">
      <c r="A231" s="154"/>
      <c r="B231" s="155"/>
      <c r="P231" s="154"/>
    </row>
    <row r="232" spans="1:16" x14ac:dyDescent="0.25">
      <c r="A232" s="154"/>
      <c r="B232" s="229" t="s">
        <v>1096</v>
      </c>
      <c r="P232" s="154"/>
    </row>
    <row r="233" spans="1:16" x14ac:dyDescent="0.25">
      <c r="A233" s="154"/>
      <c r="B233" s="229"/>
      <c r="P233" s="154"/>
    </row>
    <row r="234" spans="1:16" ht="69" customHeight="1" x14ac:dyDescent="0.25">
      <c r="A234" s="154"/>
      <c r="B234" s="229"/>
      <c r="P234" s="154"/>
    </row>
    <row r="235" spans="1:16" ht="19.5" customHeight="1" x14ac:dyDescent="0.25">
      <c r="A235" s="154"/>
      <c r="B235" s="173" t="s">
        <v>1118</v>
      </c>
      <c r="P235" s="154"/>
    </row>
    <row r="236" spans="1:16" ht="19.5" customHeight="1" x14ac:dyDescent="0.25">
      <c r="A236" s="154"/>
      <c r="B236" s="174">
        <v>3</v>
      </c>
      <c r="P236" s="154"/>
    </row>
    <row r="237" spans="1:16" ht="19.5" customHeight="1" x14ac:dyDescent="0.25">
      <c r="A237" s="154"/>
      <c r="B237" s="174">
        <v>4</v>
      </c>
      <c r="P237" s="154"/>
    </row>
    <row r="238" spans="1:16" ht="19.5" customHeight="1" x14ac:dyDescent="0.25">
      <c r="A238" s="154"/>
      <c r="B238" s="174">
        <v>5</v>
      </c>
      <c r="P238" s="154"/>
    </row>
    <row r="239" spans="1:16" ht="19.5" customHeight="1" x14ac:dyDescent="0.25">
      <c r="A239" s="154"/>
      <c r="B239" s="174">
        <v>6</v>
      </c>
      <c r="P239" s="154"/>
    </row>
    <row r="240" spans="1:16" ht="19.5" customHeight="1" x14ac:dyDescent="0.25">
      <c r="A240" s="154"/>
      <c r="B240" s="174">
        <v>7</v>
      </c>
      <c r="P240" s="154"/>
    </row>
    <row r="241" spans="1:16" ht="19.5" customHeight="1" x14ac:dyDescent="0.25">
      <c r="A241" s="154"/>
      <c r="B241" s="175" t="s">
        <v>1121</v>
      </c>
      <c r="P241" s="154"/>
    </row>
    <row r="242" spans="1:16" ht="19.5" customHeight="1" x14ac:dyDescent="0.25">
      <c r="A242" s="154"/>
      <c r="B242" s="171"/>
      <c r="P242" s="154"/>
    </row>
    <row r="243" spans="1:16" ht="15.75" x14ac:dyDescent="0.25">
      <c r="A243" s="154"/>
      <c r="B243" s="176"/>
      <c r="P243" s="154"/>
    </row>
    <row r="244" spans="1:16" ht="15.75" x14ac:dyDescent="0.25">
      <c r="A244" s="154"/>
      <c r="B244" s="176"/>
      <c r="P244" s="154"/>
    </row>
    <row r="245" spans="1:16" ht="33.75" customHeight="1" x14ac:dyDescent="0.25">
      <c r="A245" s="154"/>
      <c r="B245" s="155"/>
      <c r="P245" s="154"/>
    </row>
    <row r="246" spans="1:16" x14ac:dyDescent="0.25">
      <c r="A246" s="154"/>
      <c r="B246" s="155"/>
      <c r="P246" s="154"/>
    </row>
    <row r="247" spans="1:16" x14ac:dyDescent="0.25">
      <c r="A247" s="154"/>
      <c r="B247" s="229" t="s">
        <v>1096</v>
      </c>
      <c r="P247" s="154"/>
    </row>
    <row r="248" spans="1:16" x14ac:dyDescent="0.25">
      <c r="A248" s="154"/>
      <c r="B248" s="229"/>
      <c r="P248" s="154"/>
    </row>
    <row r="249" spans="1:16" ht="69" customHeight="1" x14ac:dyDescent="0.25">
      <c r="A249" s="154"/>
      <c r="B249" s="229"/>
      <c r="P249" s="154"/>
    </row>
    <row r="250" spans="1:16" ht="19.5" customHeight="1" x14ac:dyDescent="0.25">
      <c r="A250" s="154"/>
      <c r="B250" s="173" t="s">
        <v>1118</v>
      </c>
      <c r="P250" s="154"/>
    </row>
    <row r="251" spans="1:16" ht="19.5" customHeight="1" x14ac:dyDescent="0.25">
      <c r="A251" s="154"/>
      <c r="B251" s="174">
        <v>3</v>
      </c>
      <c r="P251" s="154"/>
    </row>
    <row r="252" spans="1:16" ht="19.5" customHeight="1" x14ac:dyDescent="0.25">
      <c r="A252" s="154"/>
      <c r="B252" s="174">
        <v>4</v>
      </c>
      <c r="P252" s="154"/>
    </row>
    <row r="253" spans="1:16" ht="19.5" customHeight="1" x14ac:dyDescent="0.25">
      <c r="A253" s="154"/>
      <c r="B253" s="174">
        <v>5</v>
      </c>
      <c r="P253" s="154"/>
    </row>
    <row r="254" spans="1:16" ht="19.5" customHeight="1" x14ac:dyDescent="0.25">
      <c r="A254" s="154"/>
      <c r="B254" s="174">
        <v>6</v>
      </c>
      <c r="P254" s="154"/>
    </row>
    <row r="255" spans="1:16" ht="19.5" customHeight="1" x14ac:dyDescent="0.25">
      <c r="A255" s="154"/>
      <c r="B255" s="174">
        <v>7</v>
      </c>
      <c r="P255" s="154"/>
    </row>
    <row r="256" spans="1:16" ht="19.5" customHeight="1" x14ac:dyDescent="0.25">
      <c r="A256" s="154"/>
      <c r="B256" s="175" t="s">
        <v>1121</v>
      </c>
      <c r="P256" s="154"/>
    </row>
    <row r="257" spans="1:16" ht="19.5" customHeight="1" x14ac:dyDescent="0.25">
      <c r="A257" s="154"/>
      <c r="B257" s="171"/>
      <c r="P257" s="154"/>
    </row>
    <row r="258" spans="1:16" x14ac:dyDescent="0.25">
      <c r="A258" s="154"/>
      <c r="B258" s="155"/>
      <c r="P258" s="154"/>
    </row>
    <row r="259" spans="1:16" x14ac:dyDescent="0.25">
      <c r="A259" s="154"/>
      <c r="B259" s="155"/>
      <c r="C259" s="155"/>
      <c r="D259" s="154"/>
      <c r="E259" s="154"/>
      <c r="F259" s="154"/>
      <c r="G259" s="154"/>
      <c r="H259" s="154"/>
      <c r="I259" s="154"/>
      <c r="J259" s="154"/>
      <c r="K259" s="154"/>
      <c r="L259" s="154"/>
      <c r="M259" s="154"/>
      <c r="N259" s="154"/>
      <c r="O259" s="154"/>
      <c r="P259" s="154"/>
    </row>
    <row r="260" spans="1:16" ht="28.5" customHeight="1" x14ac:dyDescent="0.25">
      <c r="A260" s="154"/>
      <c r="B260" s="155"/>
      <c r="P260" s="154"/>
    </row>
    <row r="261" spans="1:16" ht="46.5" customHeight="1" x14ac:dyDescent="0.25">
      <c r="A261" s="154"/>
      <c r="B261" s="155"/>
      <c r="P261" s="154"/>
    </row>
    <row r="262" spans="1:16" ht="62.25" customHeight="1" x14ac:dyDescent="0.25"/>
    <row r="263" spans="1:16" ht="33.75" customHeight="1" x14ac:dyDescent="0.25"/>
    <row r="264" spans="1:16" ht="48.75" customHeight="1" x14ac:dyDescent="0.25"/>
    <row r="266" spans="1:16" ht="30" customHeight="1" x14ac:dyDescent="0.25"/>
    <row r="267" spans="1:16" ht="30.75" customHeight="1" x14ac:dyDescent="0.25"/>
    <row r="268" spans="1:16" ht="32.25" customHeight="1" x14ac:dyDescent="0.25"/>
  </sheetData>
  <sheetProtection algorithmName="SHA-512" hashValue="It9fvhobtXTzbf9spvErKP9pP2raHdszVmLgdLzoiUbkiiAjwxKeWnEoD+og+S5BFbWGy9Wh8PwJ1LJjVuv8cw==" saltValue="/22MmQKpLPtOa3dbJzpUeA==" spinCount="100000" sheet="1" objects="1" scenarios="1"/>
  <mergeCells count="36">
    <mergeCell ref="C106:N106"/>
    <mergeCell ref="B108:B110"/>
    <mergeCell ref="C108:C110"/>
    <mergeCell ref="D108:J108"/>
    <mergeCell ref="L108:N109"/>
    <mergeCell ref="D109:F109"/>
    <mergeCell ref="H109:J109"/>
    <mergeCell ref="B126:C126"/>
    <mergeCell ref="C129:N129"/>
    <mergeCell ref="B131:B133"/>
    <mergeCell ref="C131:C133"/>
    <mergeCell ref="D131:J131"/>
    <mergeCell ref="L131:N132"/>
    <mergeCell ref="D132:F132"/>
    <mergeCell ref="H132:J132"/>
    <mergeCell ref="B149:C149"/>
    <mergeCell ref="C152:N152"/>
    <mergeCell ref="B154:B156"/>
    <mergeCell ref="C154:C156"/>
    <mergeCell ref="D154:J154"/>
    <mergeCell ref="L154:N155"/>
    <mergeCell ref="D155:F155"/>
    <mergeCell ref="H155:J155"/>
    <mergeCell ref="B172:C172"/>
    <mergeCell ref="C174:N174"/>
    <mergeCell ref="B176:B178"/>
    <mergeCell ref="C176:C178"/>
    <mergeCell ref="D176:J176"/>
    <mergeCell ref="L176:N177"/>
    <mergeCell ref="D177:F177"/>
    <mergeCell ref="H177:J177"/>
    <mergeCell ref="B247:B249"/>
    <mergeCell ref="B232:B234"/>
    <mergeCell ref="B217:B219"/>
    <mergeCell ref="B194:C194"/>
    <mergeCell ref="B202:B204"/>
  </mergeCells>
  <dataValidations count="1">
    <dataValidation type="list" allowBlank="1" showInputMessage="1" showErrorMessage="1" sqref="D197" xr:uid="{B48CDBF8-9C9F-45CF-9885-592E978C9E88}">
      <formula1>$BB$197:$BB$200</formula1>
    </dataValidation>
  </dataValidations>
  <pageMargins left="0.7" right="0.7" top="0.75" bottom="0.75" header="0.3" footer="0.3"/>
  <pageSetup paperSize="281" scale="72" orientation="landscape" r:id="rId1"/>
  <rowBreaks count="2" manualBreakCount="2">
    <brk id="228" max="14" man="1"/>
    <brk id="25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D396"/>
  <sheetViews>
    <sheetView topLeftCell="A2" zoomScaleNormal="100" workbookViewId="0">
      <selection activeCell="B381" sqref="B381"/>
    </sheetView>
  </sheetViews>
  <sheetFormatPr baseColWidth="10" defaultColWidth="11.42578125" defaultRowHeight="12.75" x14ac:dyDescent="0.2"/>
  <cols>
    <col min="1" max="1" width="15.7109375" style="52" customWidth="1"/>
    <col min="2" max="4" width="40.7109375" style="52" customWidth="1"/>
    <col min="5" max="16384" width="11.42578125" style="19"/>
  </cols>
  <sheetData>
    <row r="1" spans="1:4" x14ac:dyDescent="0.2">
      <c r="A1" s="109" t="s">
        <v>48</v>
      </c>
      <c r="B1" s="109" t="s">
        <v>49</v>
      </c>
      <c r="C1" s="109" t="s">
        <v>50</v>
      </c>
      <c r="D1" s="109" t="s">
        <v>51</v>
      </c>
    </row>
    <row r="2" spans="1:4" x14ac:dyDescent="0.2">
      <c r="A2" s="103" t="s">
        <v>52</v>
      </c>
      <c r="B2" s="104" t="s">
        <v>287</v>
      </c>
      <c r="C2" s="104" t="s">
        <v>288</v>
      </c>
      <c r="D2" s="110" t="s">
        <v>288</v>
      </c>
    </row>
    <row r="3" spans="1:4" x14ac:dyDescent="0.2">
      <c r="A3" s="103" t="s">
        <v>53</v>
      </c>
      <c r="B3" s="104" t="s">
        <v>54</v>
      </c>
      <c r="C3" s="104" t="s">
        <v>289</v>
      </c>
      <c r="D3" s="110" t="s">
        <v>289</v>
      </c>
    </row>
    <row r="4" spans="1:4" x14ac:dyDescent="0.2">
      <c r="A4" s="103" t="s">
        <v>887</v>
      </c>
      <c r="B4" s="104" t="s">
        <v>54</v>
      </c>
      <c r="C4" s="104" t="s">
        <v>289</v>
      </c>
      <c r="D4" s="110" t="s">
        <v>289</v>
      </c>
    </row>
    <row r="5" spans="1:4" x14ac:dyDescent="0.2">
      <c r="A5" s="103" t="s">
        <v>888</v>
      </c>
      <c r="B5" s="104" t="s">
        <v>54</v>
      </c>
      <c r="C5" s="104" t="s">
        <v>289</v>
      </c>
      <c r="D5" s="110" t="s">
        <v>289</v>
      </c>
    </row>
    <row r="6" spans="1:4" x14ac:dyDescent="0.2">
      <c r="A6" s="103" t="s">
        <v>55</v>
      </c>
      <c r="B6" s="104" t="s">
        <v>54</v>
      </c>
      <c r="C6" s="104" t="s">
        <v>290</v>
      </c>
      <c r="D6" s="110" t="s">
        <v>290</v>
      </c>
    </row>
    <row r="7" spans="1:4" x14ac:dyDescent="0.2">
      <c r="A7" s="103" t="s">
        <v>56</v>
      </c>
      <c r="B7" s="104" t="s">
        <v>54</v>
      </c>
      <c r="C7" s="104" t="s">
        <v>291</v>
      </c>
      <c r="D7" s="110" t="s">
        <v>291</v>
      </c>
    </row>
    <row r="8" spans="1:4" x14ac:dyDescent="0.2">
      <c r="A8" s="103" t="s">
        <v>57</v>
      </c>
      <c r="B8" s="104" t="s">
        <v>54</v>
      </c>
      <c r="C8" s="104" t="s">
        <v>292</v>
      </c>
      <c r="D8" s="110" t="s">
        <v>292</v>
      </c>
    </row>
    <row r="9" spans="1:4" x14ac:dyDescent="0.2">
      <c r="A9" s="103" t="s">
        <v>830</v>
      </c>
      <c r="B9" s="104" t="s">
        <v>54</v>
      </c>
      <c r="C9" s="104" t="s">
        <v>292</v>
      </c>
      <c r="D9" s="110" t="s">
        <v>889</v>
      </c>
    </row>
    <row r="10" spans="1:4" x14ac:dyDescent="0.2">
      <c r="A10" s="103" t="s">
        <v>58</v>
      </c>
      <c r="B10" s="104" t="s">
        <v>59</v>
      </c>
      <c r="C10" s="104" t="s">
        <v>293</v>
      </c>
      <c r="D10" s="110" t="s">
        <v>293</v>
      </c>
    </row>
    <row r="11" spans="1:4" x14ac:dyDescent="0.2">
      <c r="A11" s="103" t="s">
        <v>622</v>
      </c>
      <c r="B11" s="104" t="s">
        <v>59</v>
      </c>
      <c r="C11" s="104" t="s">
        <v>293</v>
      </c>
      <c r="D11" s="110" t="s">
        <v>676</v>
      </c>
    </row>
    <row r="12" spans="1:4" x14ac:dyDescent="0.2">
      <c r="A12" s="103" t="s">
        <v>60</v>
      </c>
      <c r="B12" s="104" t="s">
        <v>59</v>
      </c>
      <c r="C12" s="104" t="s">
        <v>294</v>
      </c>
      <c r="D12" s="110" t="s">
        <v>294</v>
      </c>
    </row>
    <row r="13" spans="1:4" x14ac:dyDescent="0.2">
      <c r="A13" s="103" t="s">
        <v>61</v>
      </c>
      <c r="B13" s="104" t="s">
        <v>59</v>
      </c>
      <c r="C13" s="104" t="s">
        <v>295</v>
      </c>
      <c r="D13" s="110" t="s">
        <v>295</v>
      </c>
    </row>
    <row r="14" spans="1:4" x14ac:dyDescent="0.2">
      <c r="A14" s="103" t="s">
        <v>62</v>
      </c>
      <c r="B14" s="104" t="s">
        <v>296</v>
      </c>
      <c r="C14" s="104" t="s">
        <v>297</v>
      </c>
      <c r="D14" s="110" t="s">
        <v>297</v>
      </c>
    </row>
    <row r="15" spans="1:4" x14ac:dyDescent="0.2">
      <c r="A15" s="103" t="s">
        <v>63</v>
      </c>
      <c r="B15" s="104" t="s">
        <v>754</v>
      </c>
      <c r="C15" s="104" t="s">
        <v>300</v>
      </c>
      <c r="D15" s="110" t="s">
        <v>300</v>
      </c>
    </row>
    <row r="16" spans="1:4" x14ac:dyDescent="0.2">
      <c r="A16" s="103" t="s">
        <v>64</v>
      </c>
      <c r="B16" s="104" t="s">
        <v>754</v>
      </c>
      <c r="C16" s="104" t="s">
        <v>890</v>
      </c>
      <c r="D16" s="110" t="s">
        <v>890</v>
      </c>
    </row>
    <row r="17" spans="1:4" x14ac:dyDescent="0.2">
      <c r="A17" s="103" t="s">
        <v>33</v>
      </c>
      <c r="B17" s="104" t="s">
        <v>754</v>
      </c>
      <c r="C17" s="104" t="s">
        <v>482</v>
      </c>
      <c r="D17" s="110" t="s">
        <v>482</v>
      </c>
    </row>
    <row r="18" spans="1:4" x14ac:dyDescent="0.2">
      <c r="A18" s="103" t="s">
        <v>34</v>
      </c>
      <c r="B18" s="104" t="s">
        <v>754</v>
      </c>
      <c r="C18" s="104" t="s">
        <v>482</v>
      </c>
      <c r="D18" s="110" t="s">
        <v>302</v>
      </c>
    </row>
    <row r="19" spans="1:4" x14ac:dyDescent="0.2">
      <c r="A19" s="103" t="s">
        <v>65</v>
      </c>
      <c r="B19" s="104" t="s">
        <v>754</v>
      </c>
      <c r="C19" s="104" t="s">
        <v>482</v>
      </c>
      <c r="D19" s="110" t="s">
        <v>755</v>
      </c>
    </row>
    <row r="20" spans="1:4" x14ac:dyDescent="0.2">
      <c r="A20" s="103" t="s">
        <v>623</v>
      </c>
      <c r="B20" s="104" t="s">
        <v>754</v>
      </c>
      <c r="C20" s="104" t="s">
        <v>482</v>
      </c>
      <c r="D20" s="110" t="s">
        <v>624</v>
      </c>
    </row>
    <row r="21" spans="1:4" x14ac:dyDescent="0.2">
      <c r="A21" s="103" t="s">
        <v>43</v>
      </c>
      <c r="B21" s="104" t="s">
        <v>754</v>
      </c>
      <c r="C21" s="104" t="s">
        <v>303</v>
      </c>
      <c r="D21" s="110" t="s">
        <v>303</v>
      </c>
    </row>
    <row r="22" spans="1:4" ht="14.25" customHeight="1" x14ac:dyDescent="0.2">
      <c r="A22" s="103" t="s">
        <v>304</v>
      </c>
      <c r="B22" s="104" t="s">
        <v>754</v>
      </c>
      <c r="C22" s="104" t="s">
        <v>891</v>
      </c>
      <c r="D22" s="110" t="s">
        <v>892</v>
      </c>
    </row>
    <row r="23" spans="1:4" x14ac:dyDescent="0.2">
      <c r="A23" s="103" t="s">
        <v>305</v>
      </c>
      <c r="B23" s="104" t="s">
        <v>754</v>
      </c>
      <c r="C23" s="104" t="s">
        <v>306</v>
      </c>
      <c r="D23" s="110" t="s">
        <v>306</v>
      </c>
    </row>
    <row r="24" spans="1:4" x14ac:dyDescent="0.2">
      <c r="A24" s="103" t="s">
        <v>480</v>
      </c>
      <c r="B24" s="104" t="s">
        <v>754</v>
      </c>
      <c r="C24" s="104" t="s">
        <v>306</v>
      </c>
      <c r="D24" s="110" t="s">
        <v>298</v>
      </c>
    </row>
    <row r="25" spans="1:4" x14ac:dyDescent="0.2">
      <c r="A25" s="103" t="s">
        <v>481</v>
      </c>
      <c r="B25" s="104" t="s">
        <v>754</v>
      </c>
      <c r="C25" s="104" t="s">
        <v>306</v>
      </c>
      <c r="D25" s="110" t="s">
        <v>299</v>
      </c>
    </row>
    <row r="26" spans="1:4" x14ac:dyDescent="0.2">
      <c r="A26" s="103" t="s">
        <v>605</v>
      </c>
      <c r="B26" s="104" t="s">
        <v>754</v>
      </c>
      <c r="C26" s="104" t="s">
        <v>306</v>
      </c>
      <c r="D26" s="110" t="s">
        <v>606</v>
      </c>
    </row>
    <row r="27" spans="1:4" x14ac:dyDescent="0.2">
      <c r="A27" s="103" t="s">
        <v>846</v>
      </c>
      <c r="B27" s="104" t="s">
        <v>754</v>
      </c>
      <c r="C27" s="104" t="s">
        <v>847</v>
      </c>
      <c r="D27" s="110" t="s">
        <v>847</v>
      </c>
    </row>
    <row r="28" spans="1:4" x14ac:dyDescent="0.2">
      <c r="A28" s="103" t="s">
        <v>66</v>
      </c>
      <c r="B28" s="104" t="s">
        <v>67</v>
      </c>
      <c r="C28" s="104" t="s">
        <v>309</v>
      </c>
      <c r="D28" s="110" t="s">
        <v>309</v>
      </c>
    </row>
    <row r="29" spans="1:4" x14ac:dyDescent="0.2">
      <c r="A29" s="103" t="s">
        <v>68</v>
      </c>
      <c r="B29" s="104" t="s">
        <v>67</v>
      </c>
      <c r="C29" s="104" t="s">
        <v>310</v>
      </c>
      <c r="D29" s="110" t="s">
        <v>310</v>
      </c>
    </row>
    <row r="30" spans="1:4" x14ac:dyDescent="0.2">
      <c r="A30" s="103" t="s">
        <v>69</v>
      </c>
      <c r="B30" s="104" t="s">
        <v>67</v>
      </c>
      <c r="C30" s="104" t="s">
        <v>311</v>
      </c>
      <c r="D30" s="110" t="s">
        <v>311</v>
      </c>
    </row>
    <row r="31" spans="1:4" x14ac:dyDescent="0.2">
      <c r="A31" s="103" t="s">
        <v>70</v>
      </c>
      <c r="B31" s="104" t="s">
        <v>67</v>
      </c>
      <c r="C31" s="104" t="s">
        <v>893</v>
      </c>
      <c r="D31" s="110" t="s">
        <v>893</v>
      </c>
    </row>
    <row r="32" spans="1:4" x14ac:dyDescent="0.2">
      <c r="A32" s="103" t="s">
        <v>769</v>
      </c>
      <c r="B32" s="104" t="s">
        <v>67</v>
      </c>
      <c r="C32" s="104" t="s">
        <v>894</v>
      </c>
      <c r="D32" s="110" t="s">
        <v>894</v>
      </c>
    </row>
    <row r="33" spans="1:4" x14ac:dyDescent="0.2">
      <c r="A33" s="103" t="s">
        <v>770</v>
      </c>
      <c r="B33" s="104" t="s">
        <v>67</v>
      </c>
      <c r="C33" s="104" t="s">
        <v>895</v>
      </c>
      <c r="D33" s="110" t="s">
        <v>895</v>
      </c>
    </row>
    <row r="34" spans="1:4" x14ac:dyDescent="0.2">
      <c r="A34" s="103" t="s">
        <v>71</v>
      </c>
      <c r="B34" s="104" t="s">
        <v>312</v>
      </c>
      <c r="C34" s="104" t="s">
        <v>313</v>
      </c>
      <c r="D34" s="110" t="s">
        <v>313</v>
      </c>
    </row>
    <row r="35" spans="1:4" x14ac:dyDescent="0.2">
      <c r="A35" s="103" t="s">
        <v>72</v>
      </c>
      <c r="B35" s="104" t="s">
        <v>312</v>
      </c>
      <c r="C35" s="104" t="s">
        <v>313</v>
      </c>
      <c r="D35" s="110" t="s">
        <v>896</v>
      </c>
    </row>
    <row r="36" spans="1:4" x14ac:dyDescent="0.2">
      <c r="A36" s="103" t="s">
        <v>897</v>
      </c>
      <c r="B36" s="104" t="s">
        <v>312</v>
      </c>
      <c r="C36" s="104" t="s">
        <v>313</v>
      </c>
      <c r="D36" s="110" t="s">
        <v>878</v>
      </c>
    </row>
    <row r="37" spans="1:4" x14ac:dyDescent="0.2">
      <c r="A37" s="103" t="s">
        <v>73</v>
      </c>
      <c r="B37" s="104" t="s">
        <v>312</v>
      </c>
      <c r="C37" s="104" t="s">
        <v>314</v>
      </c>
      <c r="D37" s="110" t="s">
        <v>314</v>
      </c>
    </row>
    <row r="38" spans="1:4" x14ac:dyDescent="0.2">
      <c r="A38" s="103" t="s">
        <v>74</v>
      </c>
      <c r="B38" s="104" t="s">
        <v>312</v>
      </c>
      <c r="C38" s="104" t="s">
        <v>607</v>
      </c>
      <c r="D38" s="110" t="s">
        <v>607</v>
      </c>
    </row>
    <row r="39" spans="1:4" x14ac:dyDescent="0.2">
      <c r="A39" s="103" t="s">
        <v>75</v>
      </c>
      <c r="B39" s="104" t="s">
        <v>312</v>
      </c>
      <c r="C39" s="104" t="s">
        <v>608</v>
      </c>
      <c r="D39" s="110" t="s">
        <v>608</v>
      </c>
    </row>
    <row r="40" spans="1:4" x14ac:dyDescent="0.2">
      <c r="A40" s="103" t="s">
        <v>76</v>
      </c>
      <c r="B40" s="104" t="s">
        <v>312</v>
      </c>
      <c r="C40" s="104" t="s">
        <v>315</v>
      </c>
      <c r="D40" s="110" t="s">
        <v>315</v>
      </c>
    </row>
    <row r="41" spans="1:4" x14ac:dyDescent="0.2">
      <c r="A41" s="103" t="s">
        <v>1132</v>
      </c>
      <c r="B41" s="104" t="s">
        <v>312</v>
      </c>
      <c r="C41" s="104" t="s">
        <v>315</v>
      </c>
      <c r="D41" s="110" t="s">
        <v>1133</v>
      </c>
    </row>
    <row r="42" spans="1:4" x14ac:dyDescent="0.2">
      <c r="A42" s="103" t="s">
        <v>1134</v>
      </c>
      <c r="B42" s="104" t="s">
        <v>312</v>
      </c>
      <c r="C42" s="104" t="s">
        <v>315</v>
      </c>
      <c r="D42" s="110" t="s">
        <v>1135</v>
      </c>
    </row>
    <row r="43" spans="1:4" x14ac:dyDescent="0.2">
      <c r="A43" s="103" t="s">
        <v>1136</v>
      </c>
      <c r="B43" s="104" t="s">
        <v>312</v>
      </c>
      <c r="C43" s="104" t="s">
        <v>315</v>
      </c>
      <c r="D43" s="110" t="s">
        <v>1137</v>
      </c>
    </row>
    <row r="44" spans="1:4" x14ac:dyDescent="0.2">
      <c r="A44" s="103" t="s">
        <v>1138</v>
      </c>
      <c r="B44" s="104" t="s">
        <v>312</v>
      </c>
      <c r="C44" s="104" t="s">
        <v>315</v>
      </c>
      <c r="D44" s="110" t="s">
        <v>1139</v>
      </c>
    </row>
    <row r="45" spans="1:4" x14ac:dyDescent="0.2">
      <c r="A45" s="103" t="s">
        <v>666</v>
      </c>
      <c r="B45" s="104" t="s">
        <v>312</v>
      </c>
      <c r="C45" s="104" t="s">
        <v>315</v>
      </c>
      <c r="D45" s="110" t="s">
        <v>771</v>
      </c>
    </row>
    <row r="46" spans="1:4" x14ac:dyDescent="0.2">
      <c r="A46" s="103" t="s">
        <v>667</v>
      </c>
      <c r="B46" s="104" t="s">
        <v>312</v>
      </c>
      <c r="C46" s="104" t="s">
        <v>315</v>
      </c>
      <c r="D46" s="110" t="s">
        <v>772</v>
      </c>
    </row>
    <row r="47" spans="1:4" ht="25.5" x14ac:dyDescent="0.2">
      <c r="A47" s="103" t="s">
        <v>1140</v>
      </c>
      <c r="B47" s="210" t="s">
        <v>312</v>
      </c>
      <c r="C47" s="211" t="s">
        <v>315</v>
      </c>
      <c r="D47" s="212" t="s">
        <v>1141</v>
      </c>
    </row>
    <row r="48" spans="1:4" x14ac:dyDescent="0.2">
      <c r="A48" s="103" t="s">
        <v>668</v>
      </c>
      <c r="B48" s="104" t="s">
        <v>312</v>
      </c>
      <c r="C48" s="104" t="s">
        <v>315</v>
      </c>
      <c r="D48" s="110" t="s">
        <v>773</v>
      </c>
    </row>
    <row r="49" spans="1:4" x14ac:dyDescent="0.2">
      <c r="A49" s="103" t="s">
        <v>881</v>
      </c>
      <c r="B49" s="104" t="s">
        <v>312</v>
      </c>
      <c r="C49" s="104" t="s">
        <v>315</v>
      </c>
      <c r="D49" s="110" t="s">
        <v>315</v>
      </c>
    </row>
    <row r="50" spans="1:4" x14ac:dyDescent="0.2">
      <c r="A50" s="103" t="s">
        <v>669</v>
      </c>
      <c r="B50" s="104" t="s">
        <v>312</v>
      </c>
      <c r="C50" s="104" t="s">
        <v>315</v>
      </c>
      <c r="D50" s="110" t="s">
        <v>774</v>
      </c>
    </row>
    <row r="51" spans="1:4" x14ac:dyDescent="0.2">
      <c r="A51" s="103" t="s">
        <v>875</v>
      </c>
      <c r="B51" s="104" t="s">
        <v>312</v>
      </c>
      <c r="C51" s="104" t="s">
        <v>315</v>
      </c>
      <c r="D51" s="110" t="s">
        <v>877</v>
      </c>
    </row>
    <row r="52" spans="1:4" x14ac:dyDescent="0.2">
      <c r="A52" s="103" t="s">
        <v>876</v>
      </c>
      <c r="B52" s="104" t="s">
        <v>312</v>
      </c>
      <c r="C52" s="104" t="s">
        <v>315</v>
      </c>
      <c r="D52" s="110" t="s">
        <v>878</v>
      </c>
    </row>
    <row r="53" spans="1:4" x14ac:dyDescent="0.2">
      <c r="A53" s="103" t="s">
        <v>77</v>
      </c>
      <c r="B53" s="104" t="s">
        <v>312</v>
      </c>
      <c r="C53" s="104" t="s">
        <v>316</v>
      </c>
      <c r="D53" s="110" t="s">
        <v>316</v>
      </c>
    </row>
    <row r="54" spans="1:4" x14ac:dyDescent="0.2">
      <c r="A54" s="103" t="s">
        <v>678</v>
      </c>
      <c r="B54" s="104" t="s">
        <v>312</v>
      </c>
      <c r="C54" s="104" t="s">
        <v>316</v>
      </c>
      <c r="D54" s="110" t="s">
        <v>775</v>
      </c>
    </row>
    <row r="55" spans="1:4" x14ac:dyDescent="0.2">
      <c r="A55" s="103" t="s">
        <v>1177</v>
      </c>
      <c r="B55" s="104" t="s">
        <v>312</v>
      </c>
      <c r="C55" s="104" t="s">
        <v>316</v>
      </c>
      <c r="D55" s="110" t="s">
        <v>1178</v>
      </c>
    </row>
    <row r="56" spans="1:4" x14ac:dyDescent="0.2">
      <c r="A56" s="103" t="s">
        <v>1179</v>
      </c>
      <c r="B56" s="104" t="s">
        <v>312</v>
      </c>
      <c r="C56" s="104" t="s">
        <v>316</v>
      </c>
      <c r="D56" s="110" t="s">
        <v>1180</v>
      </c>
    </row>
    <row r="57" spans="1:4" x14ac:dyDescent="0.2">
      <c r="A57" s="103" t="s">
        <v>1181</v>
      </c>
      <c r="B57" s="104" t="s">
        <v>312</v>
      </c>
      <c r="C57" s="104" t="s">
        <v>316</v>
      </c>
      <c r="D57" s="110" t="s">
        <v>1182</v>
      </c>
    </row>
    <row r="58" spans="1:4" x14ac:dyDescent="0.2">
      <c r="A58" s="103" t="s">
        <v>1183</v>
      </c>
      <c r="B58" s="104" t="s">
        <v>312</v>
      </c>
      <c r="C58" s="104" t="s">
        <v>316</v>
      </c>
      <c r="D58" s="110" t="s">
        <v>1184</v>
      </c>
    </row>
    <row r="59" spans="1:4" x14ac:dyDescent="0.2">
      <c r="A59" s="103" t="s">
        <v>1185</v>
      </c>
      <c r="B59" s="104" t="s">
        <v>312</v>
      </c>
      <c r="C59" s="104" t="s">
        <v>316</v>
      </c>
      <c r="D59" s="110" t="s">
        <v>1186</v>
      </c>
    </row>
    <row r="60" spans="1:4" x14ac:dyDescent="0.2">
      <c r="A60" s="103" t="s">
        <v>1187</v>
      </c>
      <c r="B60" s="104" t="s">
        <v>312</v>
      </c>
      <c r="C60" s="104" t="s">
        <v>316</v>
      </c>
      <c r="D60" s="110" t="s">
        <v>1188</v>
      </c>
    </row>
    <row r="61" spans="1:4" x14ac:dyDescent="0.2">
      <c r="A61" s="103" t="s">
        <v>1189</v>
      </c>
      <c r="B61" s="104" t="s">
        <v>312</v>
      </c>
      <c r="C61" s="104" t="s">
        <v>316</v>
      </c>
      <c r="D61" s="110" t="s">
        <v>1190</v>
      </c>
    </row>
    <row r="62" spans="1:4" x14ac:dyDescent="0.2">
      <c r="A62" s="103" t="s">
        <v>1191</v>
      </c>
      <c r="B62" s="104" t="s">
        <v>312</v>
      </c>
      <c r="C62" s="104" t="s">
        <v>316</v>
      </c>
      <c r="D62" s="110" t="s">
        <v>1192</v>
      </c>
    </row>
    <row r="63" spans="1:4" x14ac:dyDescent="0.2">
      <c r="A63" s="103" t="s">
        <v>78</v>
      </c>
      <c r="B63" s="104" t="s">
        <v>312</v>
      </c>
      <c r="C63" s="104" t="s">
        <v>317</v>
      </c>
      <c r="D63" s="110" t="s">
        <v>317</v>
      </c>
    </row>
    <row r="64" spans="1:4" x14ac:dyDescent="0.2">
      <c r="A64" s="103" t="s">
        <v>79</v>
      </c>
      <c r="B64" s="104" t="s">
        <v>312</v>
      </c>
      <c r="C64" s="104" t="s">
        <v>318</v>
      </c>
      <c r="D64" s="110" t="s">
        <v>318</v>
      </c>
    </row>
    <row r="65" spans="1:4" x14ac:dyDescent="0.2">
      <c r="A65" s="103" t="s">
        <v>679</v>
      </c>
      <c r="B65" s="104" t="s">
        <v>312</v>
      </c>
      <c r="C65" s="104" t="s">
        <v>318</v>
      </c>
      <c r="D65" s="110" t="s">
        <v>898</v>
      </c>
    </row>
    <row r="66" spans="1:4" x14ac:dyDescent="0.2">
      <c r="A66" s="103" t="s">
        <v>80</v>
      </c>
      <c r="B66" s="104" t="s">
        <v>312</v>
      </c>
      <c r="C66" s="104" t="s">
        <v>319</v>
      </c>
      <c r="D66" s="110" t="s">
        <v>319</v>
      </c>
    </row>
    <row r="67" spans="1:4" x14ac:dyDescent="0.2">
      <c r="A67" s="103" t="s">
        <v>81</v>
      </c>
      <c r="B67" s="104" t="s">
        <v>312</v>
      </c>
      <c r="C67" s="104" t="s">
        <v>320</v>
      </c>
      <c r="D67" s="110" t="s">
        <v>320</v>
      </c>
    </row>
    <row r="68" spans="1:4" x14ac:dyDescent="0.2">
      <c r="A68" s="103" t="s">
        <v>82</v>
      </c>
      <c r="B68" s="104" t="s">
        <v>312</v>
      </c>
      <c r="C68" s="104" t="s">
        <v>680</v>
      </c>
      <c r="D68" s="110" t="s">
        <v>680</v>
      </c>
    </row>
    <row r="69" spans="1:4" x14ac:dyDescent="0.2">
      <c r="A69" s="103" t="s">
        <v>83</v>
      </c>
      <c r="B69" s="104" t="s">
        <v>312</v>
      </c>
      <c r="C69" s="104" t="s">
        <v>483</v>
      </c>
      <c r="D69" s="110" t="s">
        <v>483</v>
      </c>
    </row>
    <row r="70" spans="1:4" x14ac:dyDescent="0.2">
      <c r="A70" s="103" t="s">
        <v>84</v>
      </c>
      <c r="B70" s="104" t="s">
        <v>312</v>
      </c>
      <c r="C70" s="104" t="s">
        <v>321</v>
      </c>
      <c r="D70" s="110" t="s">
        <v>321</v>
      </c>
    </row>
    <row r="71" spans="1:4" s="55" customFormat="1" x14ac:dyDescent="0.2">
      <c r="A71" s="103" t="s">
        <v>625</v>
      </c>
      <c r="B71" s="104" t="s">
        <v>312</v>
      </c>
      <c r="C71" s="104" t="s">
        <v>626</v>
      </c>
      <c r="D71" s="110" t="s">
        <v>626</v>
      </c>
    </row>
    <row r="72" spans="1:4" x14ac:dyDescent="0.2">
      <c r="A72" s="103" t="s">
        <v>776</v>
      </c>
      <c r="B72" s="104" t="s">
        <v>312</v>
      </c>
      <c r="C72" s="104" t="s">
        <v>899</v>
      </c>
      <c r="D72" s="110" t="s">
        <v>899</v>
      </c>
    </row>
    <row r="73" spans="1:4" x14ac:dyDescent="0.2">
      <c r="A73" s="103" t="s">
        <v>85</v>
      </c>
      <c r="B73" s="104" t="s">
        <v>86</v>
      </c>
      <c r="C73" s="104" t="s">
        <v>900</v>
      </c>
      <c r="D73" s="110" t="s">
        <v>900</v>
      </c>
    </row>
    <row r="74" spans="1:4" x14ac:dyDescent="0.2">
      <c r="A74" s="103" t="s">
        <v>87</v>
      </c>
      <c r="B74" s="104" t="s">
        <v>86</v>
      </c>
      <c r="C74" s="104" t="s">
        <v>900</v>
      </c>
      <c r="D74" s="110" t="s">
        <v>777</v>
      </c>
    </row>
    <row r="75" spans="1:4" x14ac:dyDescent="0.2">
      <c r="A75" s="103" t="s">
        <v>703</v>
      </c>
      <c r="B75" s="104" t="s">
        <v>86</v>
      </c>
      <c r="C75" s="104" t="s">
        <v>900</v>
      </c>
      <c r="D75" s="110" t="s">
        <v>901</v>
      </c>
    </row>
    <row r="76" spans="1:4" x14ac:dyDescent="0.2">
      <c r="A76" s="103" t="s">
        <v>681</v>
      </c>
      <c r="B76" s="104" t="s">
        <v>86</v>
      </c>
      <c r="C76" s="104" t="s">
        <v>900</v>
      </c>
      <c r="D76" s="110" t="s">
        <v>902</v>
      </c>
    </row>
    <row r="77" spans="1:4" x14ac:dyDescent="0.2">
      <c r="A77" s="103" t="s">
        <v>682</v>
      </c>
      <c r="B77" s="104" t="s">
        <v>86</v>
      </c>
      <c r="C77" s="104" t="s">
        <v>900</v>
      </c>
      <c r="D77" s="110" t="s">
        <v>683</v>
      </c>
    </row>
    <row r="78" spans="1:4" x14ac:dyDescent="0.2">
      <c r="A78" s="103" t="s">
        <v>848</v>
      </c>
      <c r="B78" s="104" t="s">
        <v>86</v>
      </c>
      <c r="C78" s="104" t="s">
        <v>900</v>
      </c>
      <c r="D78" s="110" t="s">
        <v>838</v>
      </c>
    </row>
    <row r="79" spans="1:4" x14ac:dyDescent="0.2">
      <c r="A79" s="103" t="s">
        <v>1142</v>
      </c>
      <c r="B79" s="104" t="s">
        <v>86</v>
      </c>
      <c r="C79" s="104" t="s">
        <v>1143</v>
      </c>
      <c r="D79" s="110" t="s">
        <v>1144</v>
      </c>
    </row>
    <row r="80" spans="1:4" x14ac:dyDescent="0.2">
      <c r="A80" s="103" t="s">
        <v>88</v>
      </c>
      <c r="B80" s="104" t="s">
        <v>86</v>
      </c>
      <c r="C80" s="104" t="s">
        <v>323</v>
      </c>
      <c r="D80" s="110" t="s">
        <v>323</v>
      </c>
    </row>
    <row r="81" spans="1:4" x14ac:dyDescent="0.2">
      <c r="A81" s="103" t="s">
        <v>778</v>
      </c>
      <c r="B81" s="104" t="s">
        <v>86</v>
      </c>
      <c r="C81" s="104" t="s">
        <v>323</v>
      </c>
      <c r="D81" s="110" t="s">
        <v>779</v>
      </c>
    </row>
    <row r="82" spans="1:4" x14ac:dyDescent="0.2">
      <c r="A82" s="103" t="s">
        <v>30</v>
      </c>
      <c r="B82" s="104" t="s">
        <v>86</v>
      </c>
      <c r="C82" s="104" t="s">
        <v>324</v>
      </c>
      <c r="D82" s="110" t="s">
        <v>324</v>
      </c>
    </row>
    <row r="83" spans="1:4" x14ac:dyDescent="0.2">
      <c r="A83" s="103" t="s">
        <v>27</v>
      </c>
      <c r="B83" s="104" t="s">
        <v>86</v>
      </c>
      <c r="C83" s="104" t="s">
        <v>325</v>
      </c>
      <c r="D83" s="110" t="s">
        <v>325</v>
      </c>
    </row>
    <row r="84" spans="1:4" x14ac:dyDescent="0.2">
      <c r="A84" s="103" t="s">
        <v>31</v>
      </c>
      <c r="B84" s="104" t="s">
        <v>86</v>
      </c>
      <c r="C84" s="104" t="s">
        <v>326</v>
      </c>
      <c r="D84" s="110" t="s">
        <v>326</v>
      </c>
    </row>
    <row r="85" spans="1:4" x14ac:dyDescent="0.2">
      <c r="A85" s="103" t="s">
        <v>28</v>
      </c>
      <c r="B85" s="104" t="s">
        <v>86</v>
      </c>
      <c r="C85" s="104" t="s">
        <v>327</v>
      </c>
      <c r="D85" s="110" t="s">
        <v>327</v>
      </c>
    </row>
    <row r="86" spans="1:4" x14ac:dyDescent="0.2">
      <c r="A86" s="103" t="s">
        <v>1145</v>
      </c>
      <c r="B86" s="104" t="s">
        <v>86</v>
      </c>
      <c r="C86" s="104" t="s">
        <v>327</v>
      </c>
      <c r="D86" s="110" t="s">
        <v>1146</v>
      </c>
    </row>
    <row r="87" spans="1:4" x14ac:dyDescent="0.2">
      <c r="A87" s="103" t="s">
        <v>29</v>
      </c>
      <c r="B87" s="104" t="s">
        <v>86</v>
      </c>
      <c r="C87" s="104" t="s">
        <v>328</v>
      </c>
      <c r="D87" s="110" t="s">
        <v>328</v>
      </c>
    </row>
    <row r="88" spans="1:4" x14ac:dyDescent="0.2">
      <c r="A88" s="103" t="s">
        <v>89</v>
      </c>
      <c r="B88" s="104" t="s">
        <v>86</v>
      </c>
      <c r="C88" s="104" t="s">
        <v>329</v>
      </c>
      <c r="D88" s="110" t="s">
        <v>329</v>
      </c>
    </row>
    <row r="89" spans="1:4" x14ac:dyDescent="0.2">
      <c r="A89" s="103" t="s">
        <v>40</v>
      </c>
      <c r="B89" s="104" t="s">
        <v>86</v>
      </c>
      <c r="C89" s="104" t="s">
        <v>330</v>
      </c>
      <c r="D89" s="110" t="s">
        <v>330</v>
      </c>
    </row>
    <row r="90" spans="1:4" x14ac:dyDescent="0.2">
      <c r="A90" s="103" t="s">
        <v>90</v>
      </c>
      <c r="B90" s="104" t="s">
        <v>86</v>
      </c>
      <c r="C90" s="104" t="s">
        <v>331</v>
      </c>
      <c r="D90" s="110" t="s">
        <v>331</v>
      </c>
    </row>
    <row r="91" spans="1:4" x14ac:dyDescent="0.2">
      <c r="A91" s="103" t="s">
        <v>704</v>
      </c>
      <c r="B91" s="104" t="s">
        <v>86</v>
      </c>
      <c r="C91" s="104" t="s">
        <v>705</v>
      </c>
      <c r="D91" s="110" t="s">
        <v>705</v>
      </c>
    </row>
    <row r="92" spans="1:4" x14ac:dyDescent="0.2">
      <c r="A92" s="103" t="s">
        <v>903</v>
      </c>
      <c r="B92" s="104" t="s">
        <v>86</v>
      </c>
      <c r="C92" s="104" t="s">
        <v>841</v>
      </c>
      <c r="D92" s="110" t="s">
        <v>841</v>
      </c>
    </row>
    <row r="93" spans="1:4" x14ac:dyDescent="0.2">
      <c r="A93" s="103" t="s">
        <v>699</v>
      </c>
      <c r="B93" s="104" t="s">
        <v>332</v>
      </c>
      <c r="C93" s="104" t="s">
        <v>333</v>
      </c>
      <c r="D93" s="110" t="s">
        <v>333</v>
      </c>
    </row>
    <row r="94" spans="1:4" x14ac:dyDescent="0.2">
      <c r="A94" s="103" t="s">
        <v>91</v>
      </c>
      <c r="B94" s="104" t="s">
        <v>332</v>
      </c>
      <c r="C94" s="104" t="s">
        <v>333</v>
      </c>
      <c r="D94" s="110" t="s">
        <v>334</v>
      </c>
    </row>
    <row r="95" spans="1:4" x14ac:dyDescent="0.2">
      <c r="A95" s="103" t="s">
        <v>92</v>
      </c>
      <c r="B95" s="104" t="s">
        <v>332</v>
      </c>
      <c r="C95" s="104" t="s">
        <v>333</v>
      </c>
      <c r="D95" s="110" t="s">
        <v>684</v>
      </c>
    </row>
    <row r="96" spans="1:4" x14ac:dyDescent="0.2">
      <c r="A96" s="103" t="s">
        <v>93</v>
      </c>
      <c r="B96" s="104" t="s">
        <v>332</v>
      </c>
      <c r="C96" s="104" t="s">
        <v>333</v>
      </c>
      <c r="D96" s="110" t="s">
        <v>335</v>
      </c>
    </row>
    <row r="97" spans="1:4" x14ac:dyDescent="0.2">
      <c r="A97" s="103" t="s">
        <v>94</v>
      </c>
      <c r="B97" s="104" t="s">
        <v>332</v>
      </c>
      <c r="C97" s="104" t="s">
        <v>333</v>
      </c>
      <c r="D97" s="110" t="s">
        <v>336</v>
      </c>
    </row>
    <row r="98" spans="1:4" x14ac:dyDescent="0.2">
      <c r="A98" s="103" t="s">
        <v>95</v>
      </c>
      <c r="B98" s="104" t="s">
        <v>332</v>
      </c>
      <c r="C98" s="104" t="s">
        <v>333</v>
      </c>
      <c r="D98" s="110" t="s">
        <v>337</v>
      </c>
    </row>
    <row r="99" spans="1:4" x14ac:dyDescent="0.2">
      <c r="A99" s="103" t="s">
        <v>519</v>
      </c>
      <c r="B99" s="104" t="s">
        <v>332</v>
      </c>
      <c r="C99" s="104" t="s">
        <v>628</v>
      </c>
      <c r="D99" s="110" t="s">
        <v>628</v>
      </c>
    </row>
    <row r="100" spans="1:4" x14ac:dyDescent="0.2">
      <c r="A100" s="103" t="s">
        <v>520</v>
      </c>
      <c r="B100" s="104" t="s">
        <v>332</v>
      </c>
      <c r="C100" s="104" t="s">
        <v>521</v>
      </c>
      <c r="D100" s="110" t="s">
        <v>521</v>
      </c>
    </row>
    <row r="101" spans="1:4" x14ac:dyDescent="0.2">
      <c r="A101" s="103" t="s">
        <v>643</v>
      </c>
      <c r="B101" s="104" t="s">
        <v>332</v>
      </c>
      <c r="C101" s="104" t="s">
        <v>644</v>
      </c>
      <c r="D101" s="110" t="s">
        <v>644</v>
      </c>
    </row>
    <row r="102" spans="1:4" x14ac:dyDescent="0.2">
      <c r="A102" s="103" t="s">
        <v>96</v>
      </c>
      <c r="B102" s="104" t="s">
        <v>332</v>
      </c>
      <c r="C102" s="104" t="s">
        <v>338</v>
      </c>
      <c r="D102" s="110" t="s">
        <v>338</v>
      </c>
    </row>
    <row r="103" spans="1:4" x14ac:dyDescent="0.2">
      <c r="A103" s="103" t="s">
        <v>97</v>
      </c>
      <c r="B103" s="104" t="s">
        <v>332</v>
      </c>
      <c r="C103" s="104" t="s">
        <v>338</v>
      </c>
      <c r="D103" s="110" t="s">
        <v>339</v>
      </c>
    </row>
    <row r="104" spans="1:4" x14ac:dyDescent="0.2">
      <c r="A104" s="103" t="s">
        <v>98</v>
      </c>
      <c r="B104" s="104" t="s">
        <v>332</v>
      </c>
      <c r="C104" s="104" t="s">
        <v>338</v>
      </c>
      <c r="D104" s="110" t="s">
        <v>340</v>
      </c>
    </row>
    <row r="105" spans="1:4" x14ac:dyDescent="0.2">
      <c r="A105" s="103" t="s">
        <v>99</v>
      </c>
      <c r="B105" s="104" t="s">
        <v>332</v>
      </c>
      <c r="C105" s="104" t="s">
        <v>341</v>
      </c>
      <c r="D105" s="110" t="s">
        <v>341</v>
      </c>
    </row>
    <row r="106" spans="1:4" x14ac:dyDescent="0.2">
      <c r="A106" s="103" t="s">
        <v>100</v>
      </c>
      <c r="B106" s="104" t="s">
        <v>332</v>
      </c>
      <c r="C106" s="104" t="s">
        <v>341</v>
      </c>
      <c r="D106" s="110" t="s">
        <v>904</v>
      </c>
    </row>
    <row r="107" spans="1:4" x14ac:dyDescent="0.2">
      <c r="A107" s="103" t="s">
        <v>1147</v>
      </c>
      <c r="B107" s="104" t="s">
        <v>332</v>
      </c>
      <c r="C107" s="104" t="s">
        <v>341</v>
      </c>
      <c r="D107" s="110" t="s">
        <v>1148</v>
      </c>
    </row>
    <row r="108" spans="1:4" x14ac:dyDescent="0.2">
      <c r="A108" s="103" t="s">
        <v>101</v>
      </c>
      <c r="B108" s="104" t="s">
        <v>332</v>
      </c>
      <c r="C108" s="104" t="s">
        <v>342</v>
      </c>
      <c r="D108" s="110" t="s">
        <v>342</v>
      </c>
    </row>
    <row r="109" spans="1:4" x14ac:dyDescent="0.2">
      <c r="A109" s="103" t="s">
        <v>102</v>
      </c>
      <c r="B109" s="104" t="s">
        <v>332</v>
      </c>
      <c r="C109" s="104" t="s">
        <v>343</v>
      </c>
      <c r="D109" s="110" t="s">
        <v>343</v>
      </c>
    </row>
    <row r="110" spans="1:4" x14ac:dyDescent="0.2">
      <c r="A110" s="103" t="s">
        <v>700</v>
      </c>
      <c r="B110" s="104" t="s">
        <v>332</v>
      </c>
      <c r="C110" s="104" t="s">
        <v>685</v>
      </c>
      <c r="D110" s="110" t="s">
        <v>685</v>
      </c>
    </row>
    <row r="111" spans="1:4" x14ac:dyDescent="0.2">
      <c r="A111" s="103" t="s">
        <v>701</v>
      </c>
      <c r="B111" s="104" t="s">
        <v>332</v>
      </c>
      <c r="C111" s="104" t="s">
        <v>685</v>
      </c>
      <c r="D111" s="110" t="s">
        <v>627</v>
      </c>
    </row>
    <row r="112" spans="1:4" x14ac:dyDescent="0.2">
      <c r="A112" s="103" t="s">
        <v>702</v>
      </c>
      <c r="B112" s="104" t="s">
        <v>332</v>
      </c>
      <c r="C112" s="104" t="s">
        <v>685</v>
      </c>
      <c r="D112" s="110" t="s">
        <v>686</v>
      </c>
    </row>
    <row r="113" spans="1:4" x14ac:dyDescent="0.2">
      <c r="A113" s="103" t="s">
        <v>780</v>
      </c>
      <c r="B113" s="104" t="s">
        <v>332</v>
      </c>
      <c r="C113" s="104" t="s">
        <v>905</v>
      </c>
      <c r="D113" s="110" t="s">
        <v>905</v>
      </c>
    </row>
    <row r="114" spans="1:4" x14ac:dyDescent="0.2">
      <c r="A114" s="103" t="s">
        <v>805</v>
      </c>
      <c r="B114" s="104" t="s">
        <v>332</v>
      </c>
      <c r="C114" s="104" t="s">
        <v>905</v>
      </c>
      <c r="D114" s="110" t="s">
        <v>906</v>
      </c>
    </row>
    <row r="115" spans="1:4" x14ac:dyDescent="0.2">
      <c r="A115" s="103" t="s">
        <v>806</v>
      </c>
      <c r="B115" s="104" t="s">
        <v>332</v>
      </c>
      <c r="C115" s="104" t="s">
        <v>905</v>
      </c>
      <c r="D115" s="110" t="s">
        <v>807</v>
      </c>
    </row>
    <row r="116" spans="1:4" x14ac:dyDescent="0.2">
      <c r="A116" s="103" t="s">
        <v>781</v>
      </c>
      <c r="B116" s="104" t="s">
        <v>332</v>
      </c>
      <c r="C116" s="104" t="s">
        <v>782</v>
      </c>
      <c r="D116" s="110" t="s">
        <v>782</v>
      </c>
    </row>
    <row r="117" spans="1:4" x14ac:dyDescent="0.2">
      <c r="A117" s="103" t="s">
        <v>103</v>
      </c>
      <c r="B117" s="104" t="s">
        <v>783</v>
      </c>
      <c r="C117" s="104" t="s">
        <v>900</v>
      </c>
      <c r="D117" s="110" t="s">
        <v>900</v>
      </c>
    </row>
    <row r="118" spans="1:4" x14ac:dyDescent="0.2">
      <c r="A118" s="103" t="s">
        <v>104</v>
      </c>
      <c r="B118" s="104" t="s">
        <v>783</v>
      </c>
      <c r="C118" s="104" t="s">
        <v>900</v>
      </c>
      <c r="D118" s="110" t="s">
        <v>687</v>
      </c>
    </row>
    <row r="119" spans="1:4" x14ac:dyDescent="0.2">
      <c r="A119" s="103" t="s">
        <v>105</v>
      </c>
      <c r="B119" s="104" t="s">
        <v>783</v>
      </c>
      <c r="C119" s="104" t="s">
        <v>609</v>
      </c>
      <c r="D119" s="110" t="s">
        <v>609</v>
      </c>
    </row>
    <row r="120" spans="1:4" x14ac:dyDescent="0.2">
      <c r="A120" s="103" t="s">
        <v>106</v>
      </c>
      <c r="B120" s="104" t="s">
        <v>783</v>
      </c>
      <c r="C120" s="104" t="s">
        <v>345</v>
      </c>
      <c r="D120" s="110" t="s">
        <v>345</v>
      </c>
    </row>
    <row r="121" spans="1:4" x14ac:dyDescent="0.2">
      <c r="A121" s="103" t="s">
        <v>107</v>
      </c>
      <c r="B121" s="104" t="s">
        <v>783</v>
      </c>
      <c r="C121" s="104" t="s">
        <v>346</v>
      </c>
      <c r="D121" s="110" t="s">
        <v>346</v>
      </c>
    </row>
    <row r="122" spans="1:4" x14ac:dyDescent="0.2">
      <c r="A122" s="103" t="s">
        <v>108</v>
      </c>
      <c r="B122" s="104" t="s">
        <v>783</v>
      </c>
      <c r="C122" s="104" t="s">
        <v>346</v>
      </c>
      <c r="D122" s="110" t="s">
        <v>347</v>
      </c>
    </row>
    <row r="123" spans="1:4" x14ac:dyDescent="0.2">
      <c r="A123" s="103" t="s">
        <v>670</v>
      </c>
      <c r="B123" s="104" t="s">
        <v>783</v>
      </c>
      <c r="C123" s="104" t="s">
        <v>671</v>
      </c>
      <c r="D123" s="110" t="s">
        <v>671</v>
      </c>
    </row>
    <row r="124" spans="1:4" x14ac:dyDescent="0.2">
      <c r="A124" s="103" t="s">
        <v>109</v>
      </c>
      <c r="B124" s="104" t="s">
        <v>783</v>
      </c>
      <c r="C124" s="104" t="s">
        <v>348</v>
      </c>
      <c r="D124" s="110" t="s">
        <v>348</v>
      </c>
    </row>
    <row r="125" spans="1:4" x14ac:dyDescent="0.2">
      <c r="A125" s="103" t="s">
        <v>110</v>
      </c>
      <c r="B125" s="104" t="s">
        <v>783</v>
      </c>
      <c r="C125" s="104" t="s">
        <v>348</v>
      </c>
      <c r="D125" s="110" t="s">
        <v>349</v>
      </c>
    </row>
    <row r="126" spans="1:4" x14ac:dyDescent="0.2">
      <c r="A126" s="103" t="s">
        <v>111</v>
      </c>
      <c r="B126" s="104" t="s">
        <v>783</v>
      </c>
      <c r="C126" s="104" t="s">
        <v>350</v>
      </c>
      <c r="D126" s="110" t="s">
        <v>350</v>
      </c>
    </row>
    <row r="127" spans="1:4" x14ac:dyDescent="0.2">
      <c r="A127" s="103" t="s">
        <v>879</v>
      </c>
      <c r="B127" s="104" t="s">
        <v>783</v>
      </c>
      <c r="C127" s="104" t="s">
        <v>880</v>
      </c>
      <c r="D127" s="110" t="s">
        <v>880</v>
      </c>
    </row>
    <row r="128" spans="1:4" x14ac:dyDescent="0.2">
      <c r="A128" s="103" t="s">
        <v>907</v>
      </c>
      <c r="B128" s="104" t="s">
        <v>783</v>
      </c>
      <c r="C128" s="104" t="s">
        <v>880</v>
      </c>
      <c r="D128" s="110" t="s">
        <v>908</v>
      </c>
    </row>
    <row r="129" spans="1:4" x14ac:dyDescent="0.2">
      <c r="A129" s="103" t="s">
        <v>351</v>
      </c>
      <c r="B129" s="104" t="s">
        <v>112</v>
      </c>
      <c r="C129" s="104" t="s">
        <v>352</v>
      </c>
      <c r="D129" s="110" t="s">
        <v>352</v>
      </c>
    </row>
    <row r="130" spans="1:4" x14ac:dyDescent="0.2">
      <c r="A130" s="103" t="s">
        <v>353</v>
      </c>
      <c r="B130" s="104" t="s">
        <v>112</v>
      </c>
      <c r="C130" s="104" t="s">
        <v>629</v>
      </c>
      <c r="D130" s="110" t="s">
        <v>629</v>
      </c>
    </row>
    <row r="131" spans="1:4" x14ac:dyDescent="0.2">
      <c r="A131" s="103" t="s">
        <v>354</v>
      </c>
      <c r="B131" s="104" t="s">
        <v>112</v>
      </c>
      <c r="C131" s="104" t="s">
        <v>630</v>
      </c>
      <c r="D131" s="110" t="s">
        <v>630</v>
      </c>
    </row>
    <row r="132" spans="1:4" x14ac:dyDescent="0.2">
      <c r="A132" s="103" t="s">
        <v>355</v>
      </c>
      <c r="B132" s="104" t="s">
        <v>112</v>
      </c>
      <c r="C132" s="104" t="s">
        <v>356</v>
      </c>
      <c r="D132" s="110" t="s">
        <v>356</v>
      </c>
    </row>
    <row r="133" spans="1:4" x14ac:dyDescent="0.2">
      <c r="A133" s="103" t="s">
        <v>357</v>
      </c>
      <c r="B133" s="104" t="s">
        <v>112</v>
      </c>
      <c r="C133" s="104" t="s">
        <v>784</v>
      </c>
      <c r="D133" s="110" t="s">
        <v>784</v>
      </c>
    </row>
    <row r="134" spans="1:4" x14ac:dyDescent="0.2">
      <c r="A134" s="103" t="s">
        <v>358</v>
      </c>
      <c r="B134" s="104" t="s">
        <v>112</v>
      </c>
      <c r="C134" s="104" t="s">
        <v>359</v>
      </c>
      <c r="D134" s="110" t="s">
        <v>359</v>
      </c>
    </row>
    <row r="135" spans="1:4" x14ac:dyDescent="0.2">
      <c r="A135" s="103" t="s">
        <v>360</v>
      </c>
      <c r="B135" s="104" t="s">
        <v>112</v>
      </c>
      <c r="C135" s="104" t="s">
        <v>361</v>
      </c>
      <c r="D135" s="110" t="s">
        <v>361</v>
      </c>
    </row>
    <row r="136" spans="1:4" x14ac:dyDescent="0.2">
      <c r="A136" s="103" t="s">
        <v>909</v>
      </c>
      <c r="B136" s="104" t="s">
        <v>112</v>
      </c>
      <c r="C136" s="104" t="s">
        <v>361</v>
      </c>
      <c r="D136" s="110" t="s">
        <v>910</v>
      </c>
    </row>
    <row r="137" spans="1:4" x14ac:dyDescent="0.2">
      <c r="A137" s="103" t="s">
        <v>362</v>
      </c>
      <c r="B137" s="104" t="s">
        <v>112</v>
      </c>
      <c r="C137" s="104" t="s">
        <v>911</v>
      </c>
      <c r="D137" s="110" t="s">
        <v>911</v>
      </c>
    </row>
    <row r="138" spans="1:4" x14ac:dyDescent="0.2">
      <c r="A138" s="103" t="s">
        <v>113</v>
      </c>
      <c r="B138" s="104" t="s">
        <v>112</v>
      </c>
      <c r="C138" s="104" t="s">
        <v>363</v>
      </c>
      <c r="D138" s="110" t="s">
        <v>363</v>
      </c>
    </row>
    <row r="139" spans="1:4" x14ac:dyDescent="0.2">
      <c r="A139" s="103" t="s">
        <v>114</v>
      </c>
      <c r="B139" s="104" t="s">
        <v>112</v>
      </c>
      <c r="C139" s="104" t="s">
        <v>364</v>
      </c>
      <c r="D139" s="110" t="s">
        <v>364</v>
      </c>
    </row>
    <row r="140" spans="1:4" x14ac:dyDescent="0.2">
      <c r="A140" s="103" t="s">
        <v>115</v>
      </c>
      <c r="B140" s="104" t="s">
        <v>112</v>
      </c>
      <c r="C140" s="104" t="s">
        <v>365</v>
      </c>
      <c r="D140" s="110" t="s">
        <v>365</v>
      </c>
    </row>
    <row r="141" spans="1:4" x14ac:dyDescent="0.2">
      <c r="A141" s="103" t="s">
        <v>116</v>
      </c>
      <c r="B141" s="104" t="s">
        <v>112</v>
      </c>
      <c r="C141" s="104" t="s">
        <v>366</v>
      </c>
      <c r="D141" s="110" t="s">
        <v>366</v>
      </c>
    </row>
    <row r="142" spans="1:4" x14ac:dyDescent="0.2">
      <c r="A142" s="103" t="s">
        <v>117</v>
      </c>
      <c r="B142" s="104" t="s">
        <v>112</v>
      </c>
      <c r="C142" s="104" t="s">
        <v>912</v>
      </c>
      <c r="D142" s="110" t="s">
        <v>912</v>
      </c>
    </row>
    <row r="143" spans="1:4" x14ac:dyDescent="0.2">
      <c r="A143" s="103" t="s">
        <v>118</v>
      </c>
      <c r="B143" s="104" t="s">
        <v>112</v>
      </c>
      <c r="C143" s="104" t="s">
        <v>367</v>
      </c>
      <c r="D143" s="110" t="s">
        <v>367</v>
      </c>
    </row>
    <row r="144" spans="1:4" x14ac:dyDescent="0.2">
      <c r="A144" s="103" t="s">
        <v>119</v>
      </c>
      <c r="B144" s="104" t="s">
        <v>112</v>
      </c>
      <c r="C144" s="104" t="s">
        <v>368</v>
      </c>
      <c r="D144" s="110" t="s">
        <v>368</v>
      </c>
    </row>
    <row r="145" spans="1:4" x14ac:dyDescent="0.2">
      <c r="A145" s="103" t="s">
        <v>831</v>
      </c>
      <c r="B145" s="104" t="s">
        <v>112</v>
      </c>
      <c r="C145" s="104" t="s">
        <v>368</v>
      </c>
      <c r="D145" s="110" t="s">
        <v>913</v>
      </c>
    </row>
    <row r="146" spans="1:4" x14ac:dyDescent="0.2">
      <c r="A146" s="103" t="s">
        <v>120</v>
      </c>
      <c r="B146" s="104" t="s">
        <v>112</v>
      </c>
      <c r="C146" s="104" t="s">
        <v>369</v>
      </c>
      <c r="D146" s="110" t="s">
        <v>369</v>
      </c>
    </row>
    <row r="147" spans="1:4" x14ac:dyDescent="0.2">
      <c r="A147" s="103" t="s">
        <v>42</v>
      </c>
      <c r="B147" s="104" t="s">
        <v>370</v>
      </c>
      <c r="C147" s="104" t="s">
        <v>900</v>
      </c>
      <c r="D147" s="110" t="s">
        <v>900</v>
      </c>
    </row>
    <row r="148" spans="1:4" x14ac:dyDescent="0.2">
      <c r="A148" s="103" t="s">
        <v>121</v>
      </c>
      <c r="B148" s="104" t="s">
        <v>370</v>
      </c>
      <c r="C148" s="104" t="s">
        <v>371</v>
      </c>
      <c r="D148" s="110" t="s">
        <v>373</v>
      </c>
    </row>
    <row r="149" spans="1:4" x14ac:dyDescent="0.2">
      <c r="A149" s="103" t="s">
        <v>122</v>
      </c>
      <c r="B149" s="104" t="s">
        <v>370</v>
      </c>
      <c r="C149" s="104" t="s">
        <v>371</v>
      </c>
      <c r="D149" s="110" t="s">
        <v>374</v>
      </c>
    </row>
    <row r="150" spans="1:4" x14ac:dyDescent="0.2">
      <c r="A150" s="103" t="s">
        <v>123</v>
      </c>
      <c r="B150" s="104" t="s">
        <v>370</v>
      </c>
      <c r="C150" s="104" t="s">
        <v>371</v>
      </c>
      <c r="D150" s="110" t="s">
        <v>375</v>
      </c>
    </row>
    <row r="151" spans="1:4" x14ac:dyDescent="0.2">
      <c r="A151" s="103" t="s">
        <v>124</v>
      </c>
      <c r="B151" s="104" t="s">
        <v>370</v>
      </c>
      <c r="C151" s="104" t="s">
        <v>371</v>
      </c>
      <c r="D151" s="110" t="s">
        <v>376</v>
      </c>
    </row>
    <row r="152" spans="1:4" x14ac:dyDescent="0.2">
      <c r="A152" s="103" t="s">
        <v>125</v>
      </c>
      <c r="B152" s="104" t="s">
        <v>370</v>
      </c>
      <c r="C152" s="104" t="s">
        <v>371</v>
      </c>
      <c r="D152" s="110" t="s">
        <v>377</v>
      </c>
    </row>
    <row r="153" spans="1:4" x14ac:dyDescent="0.2">
      <c r="A153" s="103" t="s">
        <v>914</v>
      </c>
      <c r="B153" s="104" t="s">
        <v>370</v>
      </c>
      <c r="C153" s="104" t="s">
        <v>371</v>
      </c>
      <c r="D153" s="110" t="s">
        <v>371</v>
      </c>
    </row>
    <row r="154" spans="1:4" x14ac:dyDescent="0.2">
      <c r="A154" s="103" t="s">
        <v>915</v>
      </c>
      <c r="B154" s="104" t="s">
        <v>370</v>
      </c>
      <c r="C154" s="104" t="s">
        <v>371</v>
      </c>
      <c r="D154" s="110" t="s">
        <v>916</v>
      </c>
    </row>
    <row r="155" spans="1:4" x14ac:dyDescent="0.2">
      <c r="A155" s="103" t="s">
        <v>126</v>
      </c>
      <c r="B155" s="104" t="s">
        <v>370</v>
      </c>
      <c r="C155" s="104" t="s">
        <v>371</v>
      </c>
      <c r="D155" s="110" t="s">
        <v>378</v>
      </c>
    </row>
    <row r="156" spans="1:4" x14ac:dyDescent="0.2">
      <c r="A156" s="103" t="s">
        <v>127</v>
      </c>
      <c r="B156" s="104" t="s">
        <v>370</v>
      </c>
      <c r="C156" s="104" t="s">
        <v>371</v>
      </c>
      <c r="D156" s="110" t="s">
        <v>917</v>
      </c>
    </row>
    <row r="157" spans="1:4" x14ac:dyDescent="0.2">
      <c r="A157" s="103" t="s">
        <v>918</v>
      </c>
      <c r="B157" s="104" t="s">
        <v>370</v>
      </c>
      <c r="C157" s="104" t="s">
        <v>371</v>
      </c>
      <c r="D157" s="110" t="s">
        <v>372</v>
      </c>
    </row>
    <row r="158" spans="1:4" x14ac:dyDescent="0.2">
      <c r="A158" s="103" t="s">
        <v>919</v>
      </c>
      <c r="B158" s="104" t="s">
        <v>370</v>
      </c>
      <c r="C158" s="104" t="s">
        <v>371</v>
      </c>
      <c r="D158" s="110" t="s">
        <v>920</v>
      </c>
    </row>
    <row r="159" spans="1:4" x14ac:dyDescent="0.2">
      <c r="A159" s="103" t="s">
        <v>921</v>
      </c>
      <c r="B159" s="104" t="s">
        <v>370</v>
      </c>
      <c r="C159" s="104" t="s">
        <v>371</v>
      </c>
      <c r="D159" s="110" t="s">
        <v>922</v>
      </c>
    </row>
    <row r="160" spans="1:4" x14ac:dyDescent="0.2">
      <c r="A160" s="103" t="s">
        <v>923</v>
      </c>
      <c r="B160" s="104" t="s">
        <v>370</v>
      </c>
      <c r="C160" s="104" t="s">
        <v>371</v>
      </c>
      <c r="D160" s="110" t="s">
        <v>924</v>
      </c>
    </row>
    <row r="161" spans="1:4" x14ac:dyDescent="0.2">
      <c r="A161" s="103" t="s">
        <v>1173</v>
      </c>
      <c r="B161" s="104" t="s">
        <v>370</v>
      </c>
      <c r="C161" s="104" t="s">
        <v>371</v>
      </c>
      <c r="D161" s="110" t="s">
        <v>1174</v>
      </c>
    </row>
    <row r="162" spans="1:4" x14ac:dyDescent="0.2">
      <c r="A162" s="103" t="s">
        <v>925</v>
      </c>
      <c r="B162" s="104" t="s">
        <v>370</v>
      </c>
      <c r="C162" s="104" t="s">
        <v>371</v>
      </c>
      <c r="D162" s="110" t="s">
        <v>926</v>
      </c>
    </row>
    <row r="163" spans="1:4" x14ac:dyDescent="0.2">
      <c r="A163" s="103" t="s">
        <v>927</v>
      </c>
      <c r="B163" s="104" t="s">
        <v>370</v>
      </c>
      <c r="C163" s="104" t="s">
        <v>371</v>
      </c>
      <c r="D163" s="110" t="s">
        <v>928</v>
      </c>
    </row>
    <row r="164" spans="1:4" x14ac:dyDescent="0.2">
      <c r="A164" s="103" t="s">
        <v>785</v>
      </c>
      <c r="B164" s="104" t="s">
        <v>370</v>
      </c>
      <c r="C164" s="104" t="s">
        <v>786</v>
      </c>
      <c r="D164" s="110" t="s">
        <v>786</v>
      </c>
    </row>
    <row r="165" spans="1:4" x14ac:dyDescent="0.2">
      <c r="A165" s="103" t="s">
        <v>128</v>
      </c>
      <c r="B165" s="104" t="s">
        <v>370</v>
      </c>
      <c r="C165" s="104" t="s">
        <v>379</v>
      </c>
      <c r="D165" s="110" t="s">
        <v>379</v>
      </c>
    </row>
    <row r="166" spans="1:4" x14ac:dyDescent="0.2">
      <c r="A166" s="103" t="s">
        <v>929</v>
      </c>
      <c r="B166" s="104" t="s">
        <v>370</v>
      </c>
      <c r="C166" s="104" t="s">
        <v>379</v>
      </c>
      <c r="D166" s="110" t="s">
        <v>930</v>
      </c>
    </row>
    <row r="167" spans="1:4" x14ac:dyDescent="0.2">
      <c r="A167" s="103" t="s">
        <v>1175</v>
      </c>
      <c r="B167" s="104" t="s">
        <v>370</v>
      </c>
      <c r="C167" s="104" t="s">
        <v>379</v>
      </c>
      <c r="D167" s="110" t="s">
        <v>1176</v>
      </c>
    </row>
    <row r="168" spans="1:4" x14ac:dyDescent="0.2">
      <c r="A168" s="103" t="s">
        <v>41</v>
      </c>
      <c r="B168" s="104" t="s">
        <v>370</v>
      </c>
      <c r="C168" s="104" t="s">
        <v>380</v>
      </c>
      <c r="D168" s="110" t="s">
        <v>380</v>
      </c>
    </row>
    <row r="169" spans="1:4" x14ac:dyDescent="0.2">
      <c r="A169" s="103" t="s">
        <v>129</v>
      </c>
      <c r="B169" s="104" t="s">
        <v>370</v>
      </c>
      <c r="C169" s="104" t="s">
        <v>381</v>
      </c>
      <c r="D169" s="110" t="s">
        <v>381</v>
      </c>
    </row>
    <row r="170" spans="1:4" x14ac:dyDescent="0.2">
      <c r="A170" s="103" t="s">
        <v>39</v>
      </c>
      <c r="B170" s="104" t="s">
        <v>130</v>
      </c>
      <c r="C170" s="104" t="s">
        <v>382</v>
      </c>
      <c r="D170" s="110" t="s">
        <v>382</v>
      </c>
    </row>
    <row r="171" spans="1:4" x14ac:dyDescent="0.2">
      <c r="A171" s="103" t="s">
        <v>131</v>
      </c>
      <c r="B171" s="104" t="s">
        <v>130</v>
      </c>
      <c r="C171" s="104" t="s">
        <v>382</v>
      </c>
      <c r="D171" s="110" t="s">
        <v>383</v>
      </c>
    </row>
    <row r="172" spans="1:4" x14ac:dyDescent="0.2">
      <c r="A172" s="103" t="s">
        <v>1149</v>
      </c>
      <c r="B172" s="104" t="s">
        <v>130</v>
      </c>
      <c r="C172" s="104" t="s">
        <v>382</v>
      </c>
      <c r="D172" s="110" t="s">
        <v>1150</v>
      </c>
    </row>
    <row r="173" spans="1:4" x14ac:dyDescent="0.2">
      <c r="A173" s="103" t="s">
        <v>44</v>
      </c>
      <c r="B173" s="104" t="s">
        <v>130</v>
      </c>
      <c r="C173" s="104" t="s">
        <v>384</v>
      </c>
      <c r="D173" s="110" t="s">
        <v>384</v>
      </c>
    </row>
    <row r="174" spans="1:4" x14ac:dyDescent="0.2">
      <c r="A174" s="103" t="s">
        <v>132</v>
      </c>
      <c r="B174" s="104" t="s">
        <v>130</v>
      </c>
      <c r="C174" s="104" t="s">
        <v>484</v>
      </c>
      <c r="D174" s="110" t="s">
        <v>484</v>
      </c>
    </row>
    <row r="175" spans="1:4" x14ac:dyDescent="0.2">
      <c r="A175" s="103" t="s">
        <v>133</v>
      </c>
      <c r="B175" s="104" t="s">
        <v>130</v>
      </c>
      <c r="C175" s="104" t="s">
        <v>385</v>
      </c>
      <c r="D175" s="110" t="s">
        <v>385</v>
      </c>
    </row>
    <row r="176" spans="1:4" x14ac:dyDescent="0.2">
      <c r="A176" s="103" t="s">
        <v>134</v>
      </c>
      <c r="B176" s="104" t="s">
        <v>130</v>
      </c>
      <c r="C176" s="104" t="s">
        <v>385</v>
      </c>
      <c r="D176" s="110" t="s">
        <v>386</v>
      </c>
    </row>
    <row r="177" spans="1:4" x14ac:dyDescent="0.2">
      <c r="A177" s="103" t="s">
        <v>135</v>
      </c>
      <c r="B177" s="104" t="s">
        <v>130</v>
      </c>
      <c r="C177" s="104" t="s">
        <v>385</v>
      </c>
      <c r="D177" s="110" t="s">
        <v>387</v>
      </c>
    </row>
    <row r="178" spans="1:4" x14ac:dyDescent="0.2">
      <c r="A178" s="103" t="s">
        <v>136</v>
      </c>
      <c r="B178" s="104" t="s">
        <v>130</v>
      </c>
      <c r="C178" s="104" t="s">
        <v>385</v>
      </c>
      <c r="D178" s="110" t="s">
        <v>388</v>
      </c>
    </row>
    <row r="179" spans="1:4" x14ac:dyDescent="0.2">
      <c r="A179" s="103" t="s">
        <v>137</v>
      </c>
      <c r="B179" s="104" t="s">
        <v>130</v>
      </c>
      <c r="C179" s="104" t="s">
        <v>385</v>
      </c>
      <c r="D179" s="110" t="s">
        <v>389</v>
      </c>
    </row>
    <row r="180" spans="1:4" x14ac:dyDescent="0.2">
      <c r="A180" s="103" t="s">
        <v>390</v>
      </c>
      <c r="B180" s="104" t="s">
        <v>130</v>
      </c>
      <c r="C180" s="104" t="s">
        <v>385</v>
      </c>
      <c r="D180" s="110" t="s">
        <v>391</v>
      </c>
    </row>
    <row r="181" spans="1:4" x14ac:dyDescent="0.2">
      <c r="A181" s="103" t="s">
        <v>597</v>
      </c>
      <c r="B181" s="104" t="s">
        <v>130</v>
      </c>
      <c r="C181" s="104" t="s">
        <v>385</v>
      </c>
      <c r="D181" s="110" t="s">
        <v>598</v>
      </c>
    </row>
    <row r="182" spans="1:4" x14ac:dyDescent="0.2">
      <c r="A182" s="103" t="s">
        <v>138</v>
      </c>
      <c r="B182" s="104" t="s">
        <v>130</v>
      </c>
      <c r="C182" s="104" t="s">
        <v>392</v>
      </c>
      <c r="D182" s="110" t="s">
        <v>392</v>
      </c>
    </row>
    <row r="183" spans="1:4" x14ac:dyDescent="0.2">
      <c r="A183" s="103" t="s">
        <v>139</v>
      </c>
      <c r="B183" s="104" t="s">
        <v>130</v>
      </c>
      <c r="C183" s="104" t="s">
        <v>392</v>
      </c>
      <c r="D183" s="110" t="s">
        <v>393</v>
      </c>
    </row>
    <row r="184" spans="1:4" x14ac:dyDescent="0.2">
      <c r="A184" s="103" t="s">
        <v>140</v>
      </c>
      <c r="B184" s="104" t="s">
        <v>130</v>
      </c>
      <c r="C184" s="104" t="s">
        <v>392</v>
      </c>
      <c r="D184" s="110" t="s">
        <v>394</v>
      </c>
    </row>
    <row r="185" spans="1:4" x14ac:dyDescent="0.2">
      <c r="A185" s="103" t="s">
        <v>141</v>
      </c>
      <c r="B185" s="104" t="s">
        <v>130</v>
      </c>
      <c r="C185" s="104" t="s">
        <v>392</v>
      </c>
      <c r="D185" s="110" t="s">
        <v>395</v>
      </c>
    </row>
    <row r="186" spans="1:4" x14ac:dyDescent="0.2">
      <c r="A186" s="103" t="s">
        <v>396</v>
      </c>
      <c r="B186" s="104" t="s">
        <v>130</v>
      </c>
      <c r="C186" s="104" t="s">
        <v>392</v>
      </c>
      <c r="D186" s="110" t="s">
        <v>397</v>
      </c>
    </row>
    <row r="187" spans="1:4" x14ac:dyDescent="0.2">
      <c r="A187" s="103" t="s">
        <v>1129</v>
      </c>
      <c r="B187" s="104" t="s">
        <v>130</v>
      </c>
      <c r="C187" s="104" t="s">
        <v>392</v>
      </c>
      <c r="D187" s="110" t="s">
        <v>1130</v>
      </c>
    </row>
    <row r="188" spans="1:4" x14ac:dyDescent="0.2">
      <c r="A188" s="103" t="s">
        <v>22</v>
      </c>
      <c r="B188" s="104" t="s">
        <v>130</v>
      </c>
      <c r="C188" s="104" t="s">
        <v>398</v>
      </c>
      <c r="D188" s="110" t="s">
        <v>398</v>
      </c>
    </row>
    <row r="189" spans="1:4" x14ac:dyDescent="0.2">
      <c r="A189" s="103" t="s">
        <v>142</v>
      </c>
      <c r="B189" s="104" t="s">
        <v>143</v>
      </c>
      <c r="C189" s="104" t="s">
        <v>399</v>
      </c>
      <c r="D189" s="110" t="s">
        <v>399</v>
      </c>
    </row>
    <row r="190" spans="1:4" x14ac:dyDescent="0.2">
      <c r="A190" s="103" t="s">
        <v>631</v>
      </c>
      <c r="B190" s="104" t="s">
        <v>143</v>
      </c>
      <c r="C190" s="104" t="s">
        <v>399</v>
      </c>
      <c r="D190" s="110" t="s">
        <v>632</v>
      </c>
    </row>
    <row r="191" spans="1:4" x14ac:dyDescent="0.2">
      <c r="A191" s="103" t="s">
        <v>633</v>
      </c>
      <c r="B191" s="104" t="s">
        <v>143</v>
      </c>
      <c r="C191" s="104" t="s">
        <v>399</v>
      </c>
      <c r="D191" s="110" t="s">
        <v>634</v>
      </c>
    </row>
    <row r="192" spans="1:4" x14ac:dyDescent="0.2">
      <c r="A192" s="103" t="s">
        <v>635</v>
      </c>
      <c r="B192" s="104" t="s">
        <v>143</v>
      </c>
      <c r="C192" s="104" t="s">
        <v>399</v>
      </c>
      <c r="D192" s="110" t="s">
        <v>636</v>
      </c>
    </row>
    <row r="193" spans="1:4" x14ac:dyDescent="0.2">
      <c r="A193" s="103" t="s">
        <v>144</v>
      </c>
      <c r="B193" s="104" t="s">
        <v>931</v>
      </c>
      <c r="C193" s="104" t="s">
        <v>400</v>
      </c>
      <c r="D193" s="110" t="s">
        <v>400</v>
      </c>
    </row>
    <row r="194" spans="1:4" x14ac:dyDescent="0.2">
      <c r="A194" s="103" t="s">
        <v>145</v>
      </c>
      <c r="B194" s="104" t="s">
        <v>931</v>
      </c>
      <c r="C194" s="104" t="s">
        <v>400</v>
      </c>
      <c r="D194" s="110" t="s">
        <v>401</v>
      </c>
    </row>
    <row r="195" spans="1:4" x14ac:dyDescent="0.2">
      <c r="A195" s="103" t="s">
        <v>146</v>
      </c>
      <c r="B195" s="104" t="s">
        <v>931</v>
      </c>
      <c r="C195" s="104" t="s">
        <v>402</v>
      </c>
      <c r="D195" s="110" t="s">
        <v>402</v>
      </c>
    </row>
    <row r="196" spans="1:4" x14ac:dyDescent="0.2">
      <c r="A196" s="103" t="s">
        <v>147</v>
      </c>
      <c r="B196" s="104" t="s">
        <v>931</v>
      </c>
      <c r="C196" s="104" t="s">
        <v>637</v>
      </c>
      <c r="D196" s="110" t="s">
        <v>637</v>
      </c>
    </row>
    <row r="197" spans="1:4" x14ac:dyDescent="0.2">
      <c r="A197" s="103" t="s">
        <v>148</v>
      </c>
      <c r="B197" s="104" t="s">
        <v>931</v>
      </c>
      <c r="C197" s="104" t="s">
        <v>403</v>
      </c>
      <c r="D197" s="110" t="s">
        <v>403</v>
      </c>
    </row>
    <row r="198" spans="1:4" x14ac:dyDescent="0.2">
      <c r="A198" s="103" t="s">
        <v>149</v>
      </c>
      <c r="B198" s="104" t="s">
        <v>931</v>
      </c>
      <c r="C198" s="104" t="s">
        <v>404</v>
      </c>
      <c r="D198" s="110" t="s">
        <v>404</v>
      </c>
    </row>
    <row r="199" spans="1:4" x14ac:dyDescent="0.2">
      <c r="A199" s="103" t="s">
        <v>932</v>
      </c>
      <c r="B199" s="104" t="s">
        <v>931</v>
      </c>
      <c r="C199" s="104" t="s">
        <v>404</v>
      </c>
      <c r="D199" s="104" t="s">
        <v>933</v>
      </c>
    </row>
    <row r="200" spans="1:4" x14ac:dyDescent="0.2">
      <c r="A200" s="103" t="s">
        <v>150</v>
      </c>
      <c r="B200" s="104" t="s">
        <v>931</v>
      </c>
      <c r="C200" s="104" t="s">
        <v>405</v>
      </c>
      <c r="D200" s="104" t="s">
        <v>405</v>
      </c>
    </row>
    <row r="201" spans="1:4" x14ac:dyDescent="0.2">
      <c r="A201" s="103" t="s">
        <v>151</v>
      </c>
      <c r="B201" s="104" t="s">
        <v>931</v>
      </c>
      <c r="C201" s="104" t="s">
        <v>406</v>
      </c>
      <c r="D201" s="110" t="s">
        <v>406</v>
      </c>
    </row>
    <row r="202" spans="1:4" x14ac:dyDescent="0.2">
      <c r="A202" s="103" t="s">
        <v>152</v>
      </c>
      <c r="B202" s="104" t="s">
        <v>931</v>
      </c>
      <c r="C202" s="104" t="s">
        <v>638</v>
      </c>
      <c r="D202" s="110" t="s">
        <v>638</v>
      </c>
    </row>
    <row r="203" spans="1:4" x14ac:dyDescent="0.2">
      <c r="A203" s="103" t="s">
        <v>153</v>
      </c>
      <c r="B203" s="104" t="s">
        <v>931</v>
      </c>
      <c r="C203" s="104" t="s">
        <v>407</v>
      </c>
      <c r="D203" s="110" t="s">
        <v>407</v>
      </c>
    </row>
    <row r="204" spans="1:4" x14ac:dyDescent="0.2">
      <c r="A204" s="103" t="s">
        <v>1010</v>
      </c>
      <c r="B204" s="104" t="s">
        <v>931</v>
      </c>
      <c r="C204" s="104" t="s">
        <v>1011</v>
      </c>
      <c r="D204" s="110" t="s">
        <v>1011</v>
      </c>
    </row>
    <row r="205" spans="1:4" x14ac:dyDescent="0.2">
      <c r="A205" s="103" t="s">
        <v>154</v>
      </c>
      <c r="B205" s="104" t="s">
        <v>931</v>
      </c>
      <c r="C205" s="104" t="s">
        <v>639</v>
      </c>
      <c r="D205" s="110" t="s">
        <v>639</v>
      </c>
    </row>
    <row r="206" spans="1:4" x14ac:dyDescent="0.2">
      <c r="A206" s="103" t="s">
        <v>155</v>
      </c>
      <c r="B206" s="104" t="s">
        <v>931</v>
      </c>
      <c r="C206" s="104" t="s">
        <v>639</v>
      </c>
      <c r="D206" s="110" t="s">
        <v>408</v>
      </c>
    </row>
    <row r="207" spans="1:4" x14ac:dyDescent="0.2">
      <c r="A207" s="103" t="s">
        <v>156</v>
      </c>
      <c r="B207" s="104" t="s">
        <v>931</v>
      </c>
      <c r="C207" s="104" t="s">
        <v>409</v>
      </c>
      <c r="D207" s="110" t="s">
        <v>409</v>
      </c>
    </row>
    <row r="208" spans="1:4" x14ac:dyDescent="0.2">
      <c r="A208" s="103" t="s">
        <v>157</v>
      </c>
      <c r="B208" s="104" t="s">
        <v>158</v>
      </c>
      <c r="C208" s="104" t="s">
        <v>410</v>
      </c>
      <c r="D208" s="104" t="s">
        <v>410</v>
      </c>
    </row>
    <row r="209" spans="1:4" x14ac:dyDescent="0.2">
      <c r="A209" s="103" t="s">
        <v>159</v>
      </c>
      <c r="B209" s="104" t="s">
        <v>158</v>
      </c>
      <c r="C209" s="104" t="s">
        <v>410</v>
      </c>
      <c r="D209" s="110" t="s">
        <v>411</v>
      </c>
    </row>
    <row r="210" spans="1:4" x14ac:dyDescent="0.2">
      <c r="A210" s="103" t="s">
        <v>160</v>
      </c>
      <c r="B210" s="104" t="s">
        <v>158</v>
      </c>
      <c r="C210" s="104" t="s">
        <v>410</v>
      </c>
      <c r="D210" s="110" t="s">
        <v>412</v>
      </c>
    </row>
    <row r="211" spans="1:4" x14ac:dyDescent="0.2">
      <c r="A211" s="103" t="s">
        <v>832</v>
      </c>
      <c r="B211" s="104" t="s">
        <v>158</v>
      </c>
      <c r="C211" s="104" t="s">
        <v>410</v>
      </c>
      <c r="D211" s="110" t="s">
        <v>934</v>
      </c>
    </row>
    <row r="212" spans="1:4" x14ac:dyDescent="0.2">
      <c r="A212" s="103" t="s">
        <v>161</v>
      </c>
      <c r="B212" s="104" t="s">
        <v>158</v>
      </c>
      <c r="C212" s="104" t="s">
        <v>413</v>
      </c>
      <c r="D212" s="110" t="s">
        <v>413</v>
      </c>
    </row>
    <row r="213" spans="1:4" x14ac:dyDescent="0.2">
      <c r="A213" s="103" t="s">
        <v>162</v>
      </c>
      <c r="B213" s="104" t="s">
        <v>158</v>
      </c>
      <c r="C213" s="104" t="s">
        <v>935</v>
      </c>
      <c r="D213" s="110" t="s">
        <v>935</v>
      </c>
    </row>
    <row r="214" spans="1:4" x14ac:dyDescent="0.2">
      <c r="A214" s="103" t="s">
        <v>163</v>
      </c>
      <c r="B214" s="104" t="s">
        <v>158</v>
      </c>
      <c r="C214" s="104" t="s">
        <v>414</v>
      </c>
      <c r="D214" s="110" t="s">
        <v>414</v>
      </c>
    </row>
    <row r="215" spans="1:4" x14ac:dyDescent="0.2">
      <c r="A215" s="103" t="s">
        <v>164</v>
      </c>
      <c r="B215" s="104" t="s">
        <v>158</v>
      </c>
      <c r="C215" s="104" t="s">
        <v>415</v>
      </c>
      <c r="D215" s="110" t="s">
        <v>415</v>
      </c>
    </row>
    <row r="216" spans="1:4" x14ac:dyDescent="0.2">
      <c r="A216" s="103" t="s">
        <v>165</v>
      </c>
      <c r="B216" s="104" t="s">
        <v>158</v>
      </c>
      <c r="C216" s="104" t="s">
        <v>415</v>
      </c>
      <c r="D216" s="110" t="s">
        <v>416</v>
      </c>
    </row>
    <row r="217" spans="1:4" x14ac:dyDescent="0.2">
      <c r="A217" s="103" t="s">
        <v>166</v>
      </c>
      <c r="B217" s="104" t="s">
        <v>158</v>
      </c>
      <c r="C217" s="104" t="s">
        <v>417</v>
      </c>
      <c r="D217" s="104" t="s">
        <v>417</v>
      </c>
    </row>
    <row r="218" spans="1:4" x14ac:dyDescent="0.2">
      <c r="A218" s="103" t="s">
        <v>167</v>
      </c>
      <c r="B218" s="104" t="s">
        <v>158</v>
      </c>
      <c r="C218" s="104" t="s">
        <v>854</v>
      </c>
      <c r="D218" s="110" t="s">
        <v>854</v>
      </c>
    </row>
    <row r="219" spans="1:4" x14ac:dyDescent="0.2">
      <c r="A219" s="103" t="s">
        <v>168</v>
      </c>
      <c r="B219" s="104" t="s">
        <v>158</v>
      </c>
      <c r="C219" s="104" t="s">
        <v>855</v>
      </c>
      <c r="D219" s="110" t="s">
        <v>855</v>
      </c>
    </row>
    <row r="220" spans="1:4" x14ac:dyDescent="0.2">
      <c r="A220" s="103" t="s">
        <v>169</v>
      </c>
      <c r="B220" s="104" t="s">
        <v>158</v>
      </c>
      <c r="C220" s="104" t="s">
        <v>418</v>
      </c>
      <c r="D220" s="104" t="s">
        <v>418</v>
      </c>
    </row>
    <row r="221" spans="1:4" x14ac:dyDescent="0.2">
      <c r="A221" s="103" t="s">
        <v>170</v>
      </c>
      <c r="B221" s="104" t="s">
        <v>158</v>
      </c>
      <c r="C221" s="104" t="s">
        <v>419</v>
      </c>
      <c r="D221" s="110" t="s">
        <v>419</v>
      </c>
    </row>
    <row r="222" spans="1:4" x14ac:dyDescent="0.2">
      <c r="A222" s="103" t="s">
        <v>171</v>
      </c>
      <c r="B222" s="104" t="s">
        <v>158</v>
      </c>
      <c r="C222" s="104" t="s">
        <v>420</v>
      </c>
      <c r="D222" s="110" t="s">
        <v>420</v>
      </c>
    </row>
    <row r="223" spans="1:4" x14ac:dyDescent="0.2">
      <c r="A223" s="103" t="s">
        <v>172</v>
      </c>
      <c r="B223" s="104" t="s">
        <v>158</v>
      </c>
      <c r="C223" s="104" t="s">
        <v>640</v>
      </c>
      <c r="D223" s="110" t="s">
        <v>640</v>
      </c>
    </row>
    <row r="224" spans="1:4" x14ac:dyDescent="0.2">
      <c r="A224" s="103" t="s">
        <v>173</v>
      </c>
      <c r="B224" s="104" t="s">
        <v>158</v>
      </c>
      <c r="C224" s="104" t="s">
        <v>421</v>
      </c>
      <c r="D224" s="110" t="s">
        <v>421</v>
      </c>
    </row>
    <row r="225" spans="1:4" x14ac:dyDescent="0.2">
      <c r="A225" s="103" t="s">
        <v>174</v>
      </c>
      <c r="B225" s="104" t="s">
        <v>158</v>
      </c>
      <c r="C225" s="104" t="s">
        <v>422</v>
      </c>
      <c r="D225" s="110" t="s">
        <v>422</v>
      </c>
    </row>
    <row r="226" spans="1:4" x14ac:dyDescent="0.2">
      <c r="A226" s="103" t="s">
        <v>175</v>
      </c>
      <c r="B226" s="104" t="s">
        <v>158</v>
      </c>
      <c r="C226" s="104" t="s">
        <v>936</v>
      </c>
      <c r="D226" s="110" t="s">
        <v>936</v>
      </c>
    </row>
    <row r="227" spans="1:4" x14ac:dyDescent="0.2">
      <c r="A227" s="103" t="s">
        <v>176</v>
      </c>
      <c r="B227" s="104" t="s">
        <v>158</v>
      </c>
      <c r="C227" s="104" t="s">
        <v>423</v>
      </c>
      <c r="D227" s="110" t="s">
        <v>423</v>
      </c>
    </row>
    <row r="228" spans="1:4" x14ac:dyDescent="0.2">
      <c r="A228" s="103" t="s">
        <v>177</v>
      </c>
      <c r="B228" s="104" t="s">
        <v>158</v>
      </c>
      <c r="C228" s="104" t="s">
        <v>424</v>
      </c>
      <c r="D228" s="110" t="s">
        <v>424</v>
      </c>
    </row>
    <row r="229" spans="1:4" x14ac:dyDescent="0.2">
      <c r="A229" s="103" t="s">
        <v>178</v>
      </c>
      <c r="B229" s="104" t="s">
        <v>158</v>
      </c>
      <c r="C229" s="104" t="s">
        <v>425</v>
      </c>
      <c r="D229" s="110" t="s">
        <v>425</v>
      </c>
    </row>
    <row r="230" spans="1:4" x14ac:dyDescent="0.2">
      <c r="A230" s="103" t="s">
        <v>179</v>
      </c>
      <c r="B230" s="104" t="s">
        <v>158</v>
      </c>
      <c r="C230" s="104" t="s">
        <v>426</v>
      </c>
      <c r="D230" s="110" t="s">
        <v>426</v>
      </c>
    </row>
    <row r="231" spans="1:4" x14ac:dyDescent="0.2">
      <c r="A231" s="103" t="s">
        <v>180</v>
      </c>
      <c r="B231" s="104" t="s">
        <v>158</v>
      </c>
      <c r="C231" s="104" t="s">
        <v>937</v>
      </c>
      <c r="D231" s="110" t="s">
        <v>937</v>
      </c>
    </row>
    <row r="232" spans="1:4" x14ac:dyDescent="0.2">
      <c r="A232" s="103" t="s">
        <v>181</v>
      </c>
      <c r="B232" s="104" t="s">
        <v>158</v>
      </c>
      <c r="C232" s="104" t="s">
        <v>427</v>
      </c>
      <c r="D232" s="110" t="s">
        <v>427</v>
      </c>
    </row>
    <row r="233" spans="1:4" x14ac:dyDescent="0.2">
      <c r="A233" s="103" t="s">
        <v>182</v>
      </c>
      <c r="B233" s="104" t="s">
        <v>158</v>
      </c>
      <c r="C233" s="104" t="s">
        <v>428</v>
      </c>
      <c r="D233" s="110" t="s">
        <v>428</v>
      </c>
    </row>
    <row r="234" spans="1:4" x14ac:dyDescent="0.2">
      <c r="A234" s="103" t="s">
        <v>183</v>
      </c>
      <c r="B234" s="104" t="s">
        <v>158</v>
      </c>
      <c r="C234" s="104" t="s">
        <v>429</v>
      </c>
      <c r="D234" s="110" t="s">
        <v>429</v>
      </c>
    </row>
    <row r="235" spans="1:4" x14ac:dyDescent="0.2">
      <c r="A235" s="103" t="s">
        <v>184</v>
      </c>
      <c r="B235" s="104" t="s">
        <v>158</v>
      </c>
      <c r="C235" s="104" t="s">
        <v>938</v>
      </c>
      <c r="D235" s="110" t="s">
        <v>938</v>
      </c>
    </row>
    <row r="236" spans="1:4" x14ac:dyDescent="0.2">
      <c r="A236" s="103" t="s">
        <v>185</v>
      </c>
      <c r="B236" s="104" t="s">
        <v>158</v>
      </c>
      <c r="C236" s="104" t="s">
        <v>430</v>
      </c>
      <c r="D236" s="110" t="s">
        <v>430</v>
      </c>
    </row>
    <row r="237" spans="1:4" x14ac:dyDescent="0.2">
      <c r="A237" s="103" t="s">
        <v>186</v>
      </c>
      <c r="B237" s="104" t="s">
        <v>158</v>
      </c>
      <c r="C237" s="104" t="s">
        <v>431</v>
      </c>
      <c r="D237" s="110" t="s">
        <v>431</v>
      </c>
    </row>
    <row r="238" spans="1:4" x14ac:dyDescent="0.2">
      <c r="A238" s="103" t="s">
        <v>187</v>
      </c>
      <c r="B238" s="104" t="s">
        <v>158</v>
      </c>
      <c r="C238" s="104" t="s">
        <v>856</v>
      </c>
      <c r="D238" s="110" t="s">
        <v>856</v>
      </c>
    </row>
    <row r="239" spans="1:4" x14ac:dyDescent="0.2">
      <c r="A239" s="103" t="s">
        <v>188</v>
      </c>
      <c r="B239" s="104" t="s">
        <v>158</v>
      </c>
      <c r="C239" s="104" t="s">
        <v>432</v>
      </c>
      <c r="D239" s="110" t="s">
        <v>432</v>
      </c>
    </row>
    <row r="240" spans="1:4" x14ac:dyDescent="0.2">
      <c r="A240" s="103" t="s">
        <v>189</v>
      </c>
      <c r="B240" s="104" t="s">
        <v>158</v>
      </c>
      <c r="C240" s="104" t="s">
        <v>433</v>
      </c>
      <c r="D240" s="110" t="s">
        <v>433</v>
      </c>
    </row>
    <row r="241" spans="1:4" x14ac:dyDescent="0.2">
      <c r="A241" s="103" t="s">
        <v>190</v>
      </c>
      <c r="B241" s="104" t="s">
        <v>158</v>
      </c>
      <c r="C241" s="104" t="s">
        <v>434</v>
      </c>
      <c r="D241" s="110" t="s">
        <v>434</v>
      </c>
    </row>
    <row r="242" spans="1:4" x14ac:dyDescent="0.2">
      <c r="A242" s="103" t="s">
        <v>191</v>
      </c>
      <c r="B242" s="104" t="s">
        <v>158</v>
      </c>
      <c r="C242" s="104" t="s">
        <v>435</v>
      </c>
      <c r="D242" s="110" t="s">
        <v>435</v>
      </c>
    </row>
    <row r="243" spans="1:4" x14ac:dyDescent="0.2">
      <c r="A243" s="103" t="s">
        <v>192</v>
      </c>
      <c r="B243" s="104" t="s">
        <v>158</v>
      </c>
      <c r="C243" s="104" t="s">
        <v>436</v>
      </c>
      <c r="D243" s="110" t="s">
        <v>436</v>
      </c>
    </row>
    <row r="244" spans="1:4" x14ac:dyDescent="0.2">
      <c r="A244" s="103" t="s">
        <v>193</v>
      </c>
      <c r="B244" s="104" t="s">
        <v>158</v>
      </c>
      <c r="C244" s="104" t="s">
        <v>437</v>
      </c>
      <c r="D244" s="110" t="s">
        <v>437</v>
      </c>
    </row>
    <row r="245" spans="1:4" x14ac:dyDescent="0.2">
      <c r="A245" s="103" t="s">
        <v>194</v>
      </c>
      <c r="B245" s="104" t="s">
        <v>158</v>
      </c>
      <c r="C245" s="104" t="s">
        <v>939</v>
      </c>
      <c r="D245" s="110" t="s">
        <v>939</v>
      </c>
    </row>
    <row r="246" spans="1:4" x14ac:dyDescent="0.2">
      <c r="A246" s="103" t="s">
        <v>195</v>
      </c>
      <c r="B246" s="104" t="s">
        <v>158</v>
      </c>
      <c r="C246" s="104" t="s">
        <v>438</v>
      </c>
      <c r="D246" s="110" t="s">
        <v>438</v>
      </c>
    </row>
    <row r="247" spans="1:4" x14ac:dyDescent="0.2">
      <c r="A247" s="103" t="s">
        <v>196</v>
      </c>
      <c r="B247" s="104" t="s">
        <v>158</v>
      </c>
      <c r="C247" s="104" t="s">
        <v>940</v>
      </c>
      <c r="D247" s="110" t="s">
        <v>940</v>
      </c>
    </row>
    <row r="248" spans="1:4" x14ac:dyDescent="0.2">
      <c r="A248" s="103" t="s">
        <v>197</v>
      </c>
      <c r="B248" s="104" t="s">
        <v>158</v>
      </c>
      <c r="C248" s="104" t="s">
        <v>439</v>
      </c>
      <c r="D248" s="110" t="s">
        <v>439</v>
      </c>
    </row>
    <row r="249" spans="1:4" x14ac:dyDescent="0.2">
      <c r="A249" s="103" t="s">
        <v>198</v>
      </c>
      <c r="B249" s="104" t="s">
        <v>158</v>
      </c>
      <c r="C249" s="104" t="s">
        <v>440</v>
      </c>
      <c r="D249" s="110" t="s">
        <v>440</v>
      </c>
    </row>
    <row r="250" spans="1:4" x14ac:dyDescent="0.2">
      <c r="A250" s="103" t="s">
        <v>199</v>
      </c>
      <c r="B250" s="104" t="s">
        <v>441</v>
      </c>
      <c r="C250" s="104" t="s">
        <v>900</v>
      </c>
      <c r="D250" s="110" t="s">
        <v>900</v>
      </c>
    </row>
    <row r="251" spans="1:4" x14ac:dyDescent="0.2">
      <c r="A251" s="103" t="s">
        <v>200</v>
      </c>
      <c r="B251" s="104" t="s">
        <v>441</v>
      </c>
      <c r="C251" s="104" t="s">
        <v>900</v>
      </c>
      <c r="D251" s="110" t="s">
        <v>442</v>
      </c>
    </row>
    <row r="252" spans="1:4" x14ac:dyDescent="0.2">
      <c r="A252" s="103" t="s">
        <v>201</v>
      </c>
      <c r="B252" s="104" t="s">
        <v>441</v>
      </c>
      <c r="C252" s="104" t="s">
        <v>443</v>
      </c>
      <c r="D252" s="110" t="s">
        <v>443</v>
      </c>
    </row>
    <row r="253" spans="1:4" x14ac:dyDescent="0.2">
      <c r="A253" s="103" t="s">
        <v>202</v>
      </c>
      <c r="B253" s="104" t="s">
        <v>441</v>
      </c>
      <c r="C253" s="104" t="s">
        <v>444</v>
      </c>
      <c r="D253" s="110" t="s">
        <v>444</v>
      </c>
    </row>
    <row r="254" spans="1:4" x14ac:dyDescent="0.2">
      <c r="A254" s="111" t="s">
        <v>817</v>
      </c>
      <c r="B254" s="112" t="s">
        <v>441</v>
      </c>
      <c r="C254" s="113" t="s">
        <v>833</v>
      </c>
      <c r="D254" s="113" t="s">
        <v>812</v>
      </c>
    </row>
    <row r="255" spans="1:4" x14ac:dyDescent="0.2">
      <c r="A255" s="111" t="s">
        <v>818</v>
      </c>
      <c r="B255" s="112" t="s">
        <v>441</v>
      </c>
      <c r="C255" s="113" t="s">
        <v>834</v>
      </c>
      <c r="D255" s="113" t="s">
        <v>813</v>
      </c>
    </row>
    <row r="256" spans="1:4" x14ac:dyDescent="0.2">
      <c r="A256" s="111" t="s">
        <v>819</v>
      </c>
      <c r="B256" s="112" t="s">
        <v>441</v>
      </c>
      <c r="C256" s="113" t="s">
        <v>835</v>
      </c>
      <c r="D256" s="113" t="s">
        <v>814</v>
      </c>
    </row>
    <row r="257" spans="1:4" x14ac:dyDescent="0.2">
      <c r="A257" s="111" t="s">
        <v>820</v>
      </c>
      <c r="B257" s="112" t="s">
        <v>441</v>
      </c>
      <c r="C257" s="113" t="s">
        <v>836</v>
      </c>
      <c r="D257" s="113" t="s">
        <v>815</v>
      </c>
    </row>
    <row r="258" spans="1:4" x14ac:dyDescent="0.2">
      <c r="A258" s="111" t="s">
        <v>821</v>
      </c>
      <c r="B258" s="112" t="s">
        <v>441</v>
      </c>
      <c r="C258" s="113" t="s">
        <v>837</v>
      </c>
      <c r="D258" s="113" t="s">
        <v>816</v>
      </c>
    </row>
    <row r="259" spans="1:4" x14ac:dyDescent="0.2">
      <c r="A259" s="103" t="s">
        <v>203</v>
      </c>
      <c r="B259" s="104" t="s">
        <v>441</v>
      </c>
      <c r="C259" s="104" t="s">
        <v>444</v>
      </c>
      <c r="D259" s="110" t="s">
        <v>445</v>
      </c>
    </row>
    <row r="260" spans="1:4" x14ac:dyDescent="0.2">
      <c r="A260" s="103" t="s">
        <v>204</v>
      </c>
      <c r="B260" s="104" t="s">
        <v>441</v>
      </c>
      <c r="C260" s="104" t="s">
        <v>444</v>
      </c>
      <c r="D260" s="110" t="s">
        <v>446</v>
      </c>
    </row>
    <row r="261" spans="1:4" x14ac:dyDescent="0.2">
      <c r="A261" s="103" t="s">
        <v>205</v>
      </c>
      <c r="B261" s="104" t="s">
        <v>441</v>
      </c>
      <c r="C261" s="104" t="s">
        <v>444</v>
      </c>
      <c r="D261" s="110" t="s">
        <v>447</v>
      </c>
    </row>
    <row r="262" spans="1:4" x14ac:dyDescent="0.2">
      <c r="A262" s="103" t="s">
        <v>206</v>
      </c>
      <c r="B262" s="104" t="s">
        <v>207</v>
      </c>
      <c r="C262" s="104" t="s">
        <v>448</v>
      </c>
      <c r="D262" s="110" t="s">
        <v>448</v>
      </c>
    </row>
    <row r="263" spans="1:4" x14ac:dyDescent="0.2">
      <c r="A263" s="103" t="s">
        <v>208</v>
      </c>
      <c r="B263" s="104" t="s">
        <v>207</v>
      </c>
      <c r="C263" s="104" t="s">
        <v>448</v>
      </c>
      <c r="D263" s="110" t="s">
        <v>787</v>
      </c>
    </row>
    <row r="264" spans="1:4" x14ac:dyDescent="0.2">
      <c r="A264" s="103" t="s">
        <v>209</v>
      </c>
      <c r="B264" s="104" t="s">
        <v>207</v>
      </c>
      <c r="C264" s="104" t="s">
        <v>448</v>
      </c>
      <c r="D264" s="110" t="s">
        <v>449</v>
      </c>
    </row>
    <row r="265" spans="1:4" x14ac:dyDescent="0.2">
      <c r="A265" s="103" t="s">
        <v>941</v>
      </c>
      <c r="B265" s="104" t="s">
        <v>207</v>
      </c>
      <c r="C265" s="104" t="s">
        <v>448</v>
      </c>
      <c r="D265" s="110" t="s">
        <v>942</v>
      </c>
    </row>
    <row r="266" spans="1:4" x14ac:dyDescent="0.2">
      <c r="A266" s="103" t="s">
        <v>210</v>
      </c>
      <c r="B266" s="104" t="s">
        <v>207</v>
      </c>
      <c r="C266" s="104" t="s">
        <v>450</v>
      </c>
      <c r="D266" s="110" t="s">
        <v>450</v>
      </c>
    </row>
    <row r="267" spans="1:4" x14ac:dyDescent="0.2">
      <c r="A267" s="103" t="s">
        <v>211</v>
      </c>
      <c r="B267" s="104" t="s">
        <v>207</v>
      </c>
      <c r="C267" s="104" t="s">
        <v>788</v>
      </c>
      <c r="D267" s="110" t="s">
        <v>788</v>
      </c>
    </row>
    <row r="268" spans="1:4" x14ac:dyDescent="0.2">
      <c r="A268" s="103" t="s">
        <v>212</v>
      </c>
      <c r="B268" s="104" t="s">
        <v>207</v>
      </c>
      <c r="C268" s="104" t="s">
        <v>789</v>
      </c>
      <c r="D268" s="110" t="s">
        <v>789</v>
      </c>
    </row>
    <row r="269" spans="1:4" x14ac:dyDescent="0.2">
      <c r="A269" s="103" t="s">
        <v>213</v>
      </c>
      <c r="B269" s="104" t="s">
        <v>207</v>
      </c>
      <c r="C269" s="104" t="s">
        <v>790</v>
      </c>
      <c r="D269" s="110" t="s">
        <v>790</v>
      </c>
    </row>
    <row r="270" spans="1:4" x14ac:dyDescent="0.2">
      <c r="A270" s="103" t="s">
        <v>214</v>
      </c>
      <c r="B270" s="104" t="s">
        <v>207</v>
      </c>
      <c r="C270" s="104" t="s">
        <v>791</v>
      </c>
      <c r="D270" s="110" t="s">
        <v>791</v>
      </c>
    </row>
    <row r="271" spans="1:4" x14ac:dyDescent="0.2">
      <c r="A271" s="103" t="s">
        <v>215</v>
      </c>
      <c r="B271" s="104" t="s">
        <v>207</v>
      </c>
      <c r="C271" s="104" t="s">
        <v>792</v>
      </c>
      <c r="D271" s="110" t="s">
        <v>792</v>
      </c>
    </row>
    <row r="272" spans="1:4" s="55" customFormat="1" x14ac:dyDescent="0.2">
      <c r="A272" s="103" t="s">
        <v>216</v>
      </c>
      <c r="B272" s="104" t="s">
        <v>207</v>
      </c>
      <c r="C272" s="104" t="s">
        <v>793</v>
      </c>
      <c r="D272" s="110" t="s">
        <v>793</v>
      </c>
    </row>
    <row r="273" spans="1:4" s="55" customFormat="1" x14ac:dyDescent="0.2">
      <c r="A273" s="103" t="s">
        <v>217</v>
      </c>
      <c r="B273" s="104" t="s">
        <v>207</v>
      </c>
      <c r="C273" s="104" t="s">
        <v>794</v>
      </c>
      <c r="D273" s="110" t="s">
        <v>794</v>
      </c>
    </row>
    <row r="274" spans="1:4" x14ac:dyDescent="0.2">
      <c r="A274" s="103" t="s">
        <v>218</v>
      </c>
      <c r="B274" s="104" t="s">
        <v>207</v>
      </c>
      <c r="C274" s="104" t="s">
        <v>795</v>
      </c>
      <c r="D274" s="110" t="s">
        <v>795</v>
      </c>
    </row>
    <row r="275" spans="1:4" x14ac:dyDescent="0.2">
      <c r="A275" s="103" t="s">
        <v>219</v>
      </c>
      <c r="B275" s="104" t="s">
        <v>207</v>
      </c>
      <c r="C275" s="104" t="s">
        <v>796</v>
      </c>
      <c r="D275" s="110" t="s">
        <v>796</v>
      </c>
    </row>
    <row r="276" spans="1:4" x14ac:dyDescent="0.2">
      <c r="A276" s="103" t="s">
        <v>220</v>
      </c>
      <c r="B276" s="104" t="s">
        <v>207</v>
      </c>
      <c r="C276" s="104" t="s">
        <v>797</v>
      </c>
      <c r="D276" s="110" t="s">
        <v>797</v>
      </c>
    </row>
    <row r="277" spans="1:4" x14ac:dyDescent="0.2">
      <c r="A277" s="103" t="s">
        <v>221</v>
      </c>
      <c r="B277" s="104" t="s">
        <v>207</v>
      </c>
      <c r="C277" s="104" t="s">
        <v>943</v>
      </c>
      <c r="D277" s="110" t="s">
        <v>943</v>
      </c>
    </row>
    <row r="278" spans="1:4" x14ac:dyDescent="0.2">
      <c r="A278" s="103" t="s">
        <v>222</v>
      </c>
      <c r="B278" s="104" t="s">
        <v>207</v>
      </c>
      <c r="C278" s="104" t="s">
        <v>944</v>
      </c>
      <c r="D278" s="110" t="s">
        <v>944</v>
      </c>
    </row>
    <row r="279" spans="1:4" x14ac:dyDescent="0.2">
      <c r="A279" s="103" t="s">
        <v>223</v>
      </c>
      <c r="B279" s="104" t="s">
        <v>207</v>
      </c>
      <c r="C279" s="104" t="s">
        <v>798</v>
      </c>
      <c r="D279" s="110" t="s">
        <v>798</v>
      </c>
    </row>
    <row r="280" spans="1:4" x14ac:dyDescent="0.2">
      <c r="A280" s="103" t="s">
        <v>224</v>
      </c>
      <c r="B280" s="104" t="s">
        <v>207</v>
      </c>
      <c r="C280" s="104" t="s">
        <v>799</v>
      </c>
      <c r="D280" s="110" t="s">
        <v>799</v>
      </c>
    </row>
    <row r="281" spans="1:4" x14ac:dyDescent="0.2">
      <c r="A281" s="103" t="s">
        <v>225</v>
      </c>
      <c r="B281" s="104" t="s">
        <v>207</v>
      </c>
      <c r="C281" s="104" t="s">
        <v>800</v>
      </c>
      <c r="D281" s="110" t="s">
        <v>800</v>
      </c>
    </row>
    <row r="282" spans="1:4" x14ac:dyDescent="0.2">
      <c r="A282" s="103" t="s">
        <v>801</v>
      </c>
      <c r="B282" s="104" t="s">
        <v>207</v>
      </c>
      <c r="C282" s="104" t="s">
        <v>945</v>
      </c>
      <c r="D282" s="110" t="s">
        <v>945</v>
      </c>
    </row>
    <row r="283" spans="1:4" x14ac:dyDescent="0.2">
      <c r="A283" s="103" t="s">
        <v>226</v>
      </c>
      <c r="B283" s="104" t="s">
        <v>227</v>
      </c>
      <c r="C283" s="104" t="s">
        <v>451</v>
      </c>
      <c r="D283" s="110" t="s">
        <v>451</v>
      </c>
    </row>
    <row r="284" spans="1:4" x14ac:dyDescent="0.2">
      <c r="A284" s="103" t="s">
        <v>228</v>
      </c>
      <c r="B284" s="104" t="s">
        <v>227</v>
      </c>
      <c r="C284" s="104" t="s">
        <v>451</v>
      </c>
      <c r="D284" s="110" t="s">
        <v>946</v>
      </c>
    </row>
    <row r="285" spans="1:4" x14ac:dyDescent="0.2">
      <c r="A285" s="103" t="s">
        <v>229</v>
      </c>
      <c r="B285" s="104" t="s">
        <v>227</v>
      </c>
      <c r="C285" s="104" t="s">
        <v>451</v>
      </c>
      <c r="D285" s="110" t="s">
        <v>452</v>
      </c>
    </row>
    <row r="286" spans="1:4" x14ac:dyDescent="0.2">
      <c r="A286" s="103" t="s">
        <v>230</v>
      </c>
      <c r="B286" s="104" t="s">
        <v>227</v>
      </c>
      <c r="C286" s="104" t="s">
        <v>451</v>
      </c>
      <c r="D286" s="110" t="s">
        <v>947</v>
      </c>
    </row>
    <row r="287" spans="1:4" ht="15.75" customHeight="1" x14ac:dyDescent="0.2">
      <c r="A287" s="103" t="s">
        <v>231</v>
      </c>
      <c r="B287" s="104" t="s">
        <v>227</v>
      </c>
      <c r="C287" s="104" t="s">
        <v>451</v>
      </c>
      <c r="D287" s="110" t="s">
        <v>610</v>
      </c>
    </row>
    <row r="288" spans="1:4" ht="15.75" customHeight="1" x14ac:dyDescent="0.2">
      <c r="A288" s="103" t="s">
        <v>232</v>
      </c>
      <c r="B288" s="104" t="s">
        <v>227</v>
      </c>
      <c r="C288" s="104" t="s">
        <v>451</v>
      </c>
      <c r="D288" s="110" t="s">
        <v>453</v>
      </c>
    </row>
    <row r="289" spans="1:4" ht="15.75" customHeight="1" x14ac:dyDescent="0.2">
      <c r="A289" s="103" t="s">
        <v>233</v>
      </c>
      <c r="B289" s="104" t="s">
        <v>227</v>
      </c>
      <c r="C289" s="104" t="s">
        <v>451</v>
      </c>
      <c r="D289" s="110" t="s">
        <v>454</v>
      </c>
    </row>
    <row r="290" spans="1:4" ht="15.75" customHeight="1" x14ac:dyDescent="0.2">
      <c r="A290" s="103" t="s">
        <v>948</v>
      </c>
      <c r="B290" s="104" t="s">
        <v>227</v>
      </c>
      <c r="C290" s="104" t="s">
        <v>451</v>
      </c>
      <c r="D290" s="110" t="s">
        <v>949</v>
      </c>
    </row>
    <row r="291" spans="1:4" ht="15.75" customHeight="1" x14ac:dyDescent="0.2">
      <c r="A291" s="103" t="s">
        <v>1151</v>
      </c>
      <c r="B291" s="104" t="s">
        <v>227</v>
      </c>
      <c r="C291" s="104" t="s">
        <v>451</v>
      </c>
      <c r="D291" s="110" t="s">
        <v>1152</v>
      </c>
    </row>
    <row r="292" spans="1:4" ht="15.75" customHeight="1" x14ac:dyDescent="0.2">
      <c r="A292" s="103" t="s">
        <v>234</v>
      </c>
      <c r="B292" s="104" t="s">
        <v>227</v>
      </c>
      <c r="C292" s="104" t="s">
        <v>455</v>
      </c>
      <c r="D292" s="110" t="s">
        <v>455</v>
      </c>
    </row>
    <row r="293" spans="1:4" ht="15.75" customHeight="1" x14ac:dyDescent="0.2">
      <c r="A293" s="103" t="s">
        <v>235</v>
      </c>
      <c r="B293" s="104" t="s">
        <v>227</v>
      </c>
      <c r="C293" s="104" t="s">
        <v>456</v>
      </c>
      <c r="D293" s="110" t="s">
        <v>456</v>
      </c>
    </row>
    <row r="294" spans="1:4" ht="15.75" customHeight="1" x14ac:dyDescent="0.2">
      <c r="A294" s="103" t="s">
        <v>236</v>
      </c>
      <c r="B294" s="104" t="s">
        <v>457</v>
      </c>
      <c r="C294" s="104" t="s">
        <v>458</v>
      </c>
      <c r="D294" s="110" t="s">
        <v>458</v>
      </c>
    </row>
    <row r="295" spans="1:4" ht="15.75" customHeight="1" x14ac:dyDescent="0.2">
      <c r="A295" s="103" t="s">
        <v>237</v>
      </c>
      <c r="B295" s="104" t="s">
        <v>457</v>
      </c>
      <c r="C295" s="104" t="s">
        <v>459</v>
      </c>
      <c r="D295" s="110" t="s">
        <v>459</v>
      </c>
    </row>
    <row r="296" spans="1:4" ht="15.75" customHeight="1" x14ac:dyDescent="0.2">
      <c r="A296" s="103" t="s">
        <v>517</v>
      </c>
      <c r="B296" s="104" t="s">
        <v>950</v>
      </c>
      <c r="C296" s="104" t="s">
        <v>486</v>
      </c>
      <c r="D296" s="110" t="s">
        <v>486</v>
      </c>
    </row>
    <row r="297" spans="1:4" ht="15.75" customHeight="1" x14ac:dyDescent="0.2">
      <c r="A297" s="103" t="s">
        <v>611</v>
      </c>
      <c r="B297" s="104" t="s">
        <v>950</v>
      </c>
      <c r="C297" s="104" t="s">
        <v>486</v>
      </c>
      <c r="D297" s="110" t="s">
        <v>612</v>
      </c>
    </row>
    <row r="298" spans="1:4" ht="15.75" customHeight="1" x14ac:dyDescent="0.2">
      <c r="A298" s="103" t="s">
        <v>951</v>
      </c>
      <c r="B298" s="104" t="s">
        <v>950</v>
      </c>
      <c r="C298" s="104" t="s">
        <v>486</v>
      </c>
      <c r="D298" s="110" t="s">
        <v>952</v>
      </c>
    </row>
    <row r="299" spans="1:4" ht="15.75" customHeight="1" x14ac:dyDescent="0.2">
      <c r="A299" s="103" t="s">
        <v>238</v>
      </c>
      <c r="B299" s="104" t="s">
        <v>950</v>
      </c>
      <c r="C299" s="104" t="s">
        <v>641</v>
      </c>
      <c r="D299" s="110" t="s">
        <v>641</v>
      </c>
    </row>
    <row r="300" spans="1:4" ht="15.75" customHeight="1" x14ac:dyDescent="0.2">
      <c r="A300" s="103" t="s">
        <v>849</v>
      </c>
      <c r="B300" s="104" t="s">
        <v>950</v>
      </c>
      <c r="C300" s="104" t="s">
        <v>641</v>
      </c>
      <c r="D300" s="110" t="s">
        <v>953</v>
      </c>
    </row>
    <row r="301" spans="1:4" ht="15.75" customHeight="1" x14ac:dyDescent="0.2">
      <c r="A301" s="103" t="s">
        <v>850</v>
      </c>
      <c r="B301" s="104" t="s">
        <v>950</v>
      </c>
      <c r="C301" s="104" t="s">
        <v>641</v>
      </c>
      <c r="D301" s="110" t="s">
        <v>954</v>
      </c>
    </row>
    <row r="302" spans="1:4" x14ac:dyDescent="0.2">
      <c r="A302" s="103" t="s">
        <v>239</v>
      </c>
      <c r="B302" s="104" t="s">
        <v>950</v>
      </c>
      <c r="C302" s="104" t="s">
        <v>461</v>
      </c>
      <c r="D302" s="110" t="s">
        <v>461</v>
      </c>
    </row>
    <row r="303" spans="1:4" x14ac:dyDescent="0.2">
      <c r="A303" s="103" t="s">
        <v>240</v>
      </c>
      <c r="B303" s="104" t="s">
        <v>950</v>
      </c>
      <c r="C303" s="104" t="s">
        <v>462</v>
      </c>
      <c r="D303" s="110" t="s">
        <v>462</v>
      </c>
    </row>
    <row r="304" spans="1:4" x14ac:dyDescent="0.2">
      <c r="A304" s="103" t="s">
        <v>241</v>
      </c>
      <c r="B304" s="104" t="s">
        <v>950</v>
      </c>
      <c r="C304" s="104" t="s">
        <v>463</v>
      </c>
      <c r="D304" s="110" t="s">
        <v>463</v>
      </c>
    </row>
    <row r="305" spans="1:4" x14ac:dyDescent="0.2">
      <c r="A305" s="103" t="s">
        <v>242</v>
      </c>
      <c r="B305" s="104" t="s">
        <v>950</v>
      </c>
      <c r="C305" s="104" t="s">
        <v>464</v>
      </c>
      <c r="D305" s="110" t="s">
        <v>464</v>
      </c>
    </row>
    <row r="306" spans="1:4" x14ac:dyDescent="0.2">
      <c r="A306" s="103" t="s">
        <v>518</v>
      </c>
      <c r="B306" s="104" t="s">
        <v>950</v>
      </c>
      <c r="C306" s="104" t="s">
        <v>485</v>
      </c>
      <c r="D306" s="110" t="s">
        <v>485</v>
      </c>
    </row>
    <row r="307" spans="1:4" x14ac:dyDescent="0.2">
      <c r="A307" s="103" t="s">
        <v>710</v>
      </c>
      <c r="B307" s="104" t="s">
        <v>950</v>
      </c>
      <c r="C307" s="104" t="s">
        <v>802</v>
      </c>
      <c r="D307" s="110" t="s">
        <v>802</v>
      </c>
    </row>
    <row r="308" spans="1:4" x14ac:dyDescent="0.2">
      <c r="A308" s="103" t="s">
        <v>711</v>
      </c>
      <c r="B308" s="104" t="s">
        <v>950</v>
      </c>
      <c r="C308" s="104" t="s">
        <v>802</v>
      </c>
      <c r="D308" s="110" t="s">
        <v>955</v>
      </c>
    </row>
    <row r="309" spans="1:4" x14ac:dyDescent="0.2">
      <c r="A309" s="103" t="s">
        <v>842</v>
      </c>
      <c r="B309" s="104" t="s">
        <v>950</v>
      </c>
      <c r="C309" s="104" t="s">
        <v>843</v>
      </c>
      <c r="D309" s="110" t="s">
        <v>843</v>
      </c>
    </row>
    <row r="310" spans="1:4" x14ac:dyDescent="0.2">
      <c r="A310" s="103" t="s">
        <v>851</v>
      </c>
      <c r="B310" s="104" t="s">
        <v>950</v>
      </c>
      <c r="C310" s="104" t="s">
        <v>843</v>
      </c>
      <c r="D310" s="110" t="s">
        <v>956</v>
      </c>
    </row>
    <row r="311" spans="1:4" x14ac:dyDescent="0.2">
      <c r="A311" s="103" t="s">
        <v>243</v>
      </c>
      <c r="B311" s="104" t="s">
        <v>465</v>
      </c>
      <c r="C311" s="104" t="s">
        <v>466</v>
      </c>
      <c r="D311" s="110" t="s">
        <v>466</v>
      </c>
    </row>
    <row r="312" spans="1:4" x14ac:dyDescent="0.2">
      <c r="A312" s="103" t="s">
        <v>467</v>
      </c>
      <c r="B312" s="104" t="s">
        <v>465</v>
      </c>
      <c r="C312" s="104" t="s">
        <v>466</v>
      </c>
      <c r="D312" s="110" t="s">
        <v>688</v>
      </c>
    </row>
    <row r="313" spans="1:4" x14ac:dyDescent="0.2">
      <c r="A313" s="103" t="s">
        <v>599</v>
      </c>
      <c r="B313" s="104" t="s">
        <v>465</v>
      </c>
      <c r="C313" s="104" t="s">
        <v>466</v>
      </c>
      <c r="D313" s="110" t="s">
        <v>322</v>
      </c>
    </row>
    <row r="314" spans="1:4" x14ac:dyDescent="0.2">
      <c r="A314" s="103" t="s">
        <v>957</v>
      </c>
      <c r="B314" s="104" t="s">
        <v>465</v>
      </c>
      <c r="C314" s="104" t="s">
        <v>466</v>
      </c>
      <c r="D314" s="110" t="s">
        <v>958</v>
      </c>
    </row>
    <row r="315" spans="1:4" x14ac:dyDescent="0.2">
      <c r="A315" s="103" t="s">
        <v>959</v>
      </c>
      <c r="B315" s="104" t="s">
        <v>465</v>
      </c>
      <c r="C315" s="104" t="s">
        <v>466</v>
      </c>
      <c r="D315" s="110" t="s">
        <v>960</v>
      </c>
    </row>
    <row r="316" spans="1:4" x14ac:dyDescent="0.2">
      <c r="A316" s="103" t="s">
        <v>244</v>
      </c>
      <c r="B316" s="104" t="s">
        <v>468</v>
      </c>
      <c r="C316" s="104" t="s">
        <v>469</v>
      </c>
      <c r="D316" s="110" t="s">
        <v>469</v>
      </c>
    </row>
    <row r="317" spans="1:4" x14ac:dyDescent="0.2">
      <c r="A317" s="103" t="s">
        <v>245</v>
      </c>
      <c r="B317" s="104" t="s">
        <v>470</v>
      </c>
      <c r="C317" s="104" t="s">
        <v>471</v>
      </c>
      <c r="D317" s="110" t="s">
        <v>471</v>
      </c>
    </row>
    <row r="318" spans="1:4" x14ac:dyDescent="0.2">
      <c r="A318" s="103" t="s">
        <v>246</v>
      </c>
      <c r="B318" s="104" t="s">
        <v>470</v>
      </c>
      <c r="C318" s="104" t="s">
        <v>471</v>
      </c>
      <c r="D318" s="110" t="s">
        <v>961</v>
      </c>
    </row>
    <row r="319" spans="1:4" x14ac:dyDescent="0.2">
      <c r="A319" s="103" t="s">
        <v>247</v>
      </c>
      <c r="B319" s="104" t="s">
        <v>470</v>
      </c>
      <c r="C319" s="104" t="s">
        <v>471</v>
      </c>
      <c r="D319" s="110" t="s">
        <v>472</v>
      </c>
    </row>
    <row r="320" spans="1:4" x14ac:dyDescent="0.2">
      <c r="A320" s="103" t="s">
        <v>614</v>
      </c>
      <c r="B320" s="104" t="s">
        <v>470</v>
      </c>
      <c r="C320" s="104" t="s">
        <v>471</v>
      </c>
      <c r="D320" s="110" t="s">
        <v>615</v>
      </c>
    </row>
    <row r="321" spans="1:4" x14ac:dyDescent="0.2">
      <c r="A321" s="103" t="s">
        <v>882</v>
      </c>
      <c r="B321" s="104" t="s">
        <v>470</v>
      </c>
      <c r="C321" s="104" t="s">
        <v>471</v>
      </c>
      <c r="D321" s="110" t="s">
        <v>883</v>
      </c>
    </row>
    <row r="322" spans="1:4" x14ac:dyDescent="0.2">
      <c r="A322" s="103" t="s">
        <v>248</v>
      </c>
      <c r="B322" s="104" t="s">
        <v>470</v>
      </c>
      <c r="C322" s="104" t="s">
        <v>473</v>
      </c>
      <c r="D322" s="110" t="s">
        <v>473</v>
      </c>
    </row>
    <row r="323" spans="1:4" x14ac:dyDescent="0.2">
      <c r="A323" s="103" t="s">
        <v>249</v>
      </c>
      <c r="B323" s="104" t="s">
        <v>470</v>
      </c>
      <c r="C323" s="104" t="s">
        <v>474</v>
      </c>
      <c r="D323" s="110" t="s">
        <v>474</v>
      </c>
    </row>
    <row r="324" spans="1:4" x14ac:dyDescent="0.2">
      <c r="A324" s="103" t="s">
        <v>250</v>
      </c>
      <c r="B324" s="104" t="s">
        <v>470</v>
      </c>
      <c r="C324" s="104" t="s">
        <v>475</v>
      </c>
      <c r="D324" s="110" t="s">
        <v>475</v>
      </c>
    </row>
    <row r="325" spans="1:4" x14ac:dyDescent="0.2">
      <c r="A325" s="103" t="s">
        <v>251</v>
      </c>
      <c r="B325" s="104" t="s">
        <v>252</v>
      </c>
      <c r="C325" s="104" t="s">
        <v>476</v>
      </c>
      <c r="D325" s="110" t="s">
        <v>476</v>
      </c>
    </row>
    <row r="326" spans="1:4" x14ac:dyDescent="0.2">
      <c r="A326" s="103" t="s">
        <v>884</v>
      </c>
      <c r="B326" s="104" t="s">
        <v>252</v>
      </c>
      <c r="C326" s="104" t="s">
        <v>476</v>
      </c>
      <c r="D326" s="110" t="s">
        <v>885</v>
      </c>
    </row>
    <row r="327" spans="1:4" x14ac:dyDescent="0.2">
      <c r="A327" s="103" t="s">
        <v>1153</v>
      </c>
      <c r="B327" s="104" t="s">
        <v>252</v>
      </c>
      <c r="C327" s="104" t="s">
        <v>476</v>
      </c>
      <c r="D327" s="110" t="s">
        <v>1154</v>
      </c>
    </row>
    <row r="328" spans="1:4" x14ac:dyDescent="0.2">
      <c r="A328" s="103" t="s">
        <v>253</v>
      </c>
      <c r="B328" s="104" t="s">
        <v>252</v>
      </c>
      <c r="C328" s="104" t="s">
        <v>477</v>
      </c>
      <c r="D328" s="110" t="s">
        <v>477</v>
      </c>
    </row>
    <row r="329" spans="1:4" x14ac:dyDescent="0.2">
      <c r="A329" s="103" t="s">
        <v>254</v>
      </c>
      <c r="B329" s="104" t="s">
        <v>252</v>
      </c>
      <c r="C329" s="104" t="s">
        <v>478</v>
      </c>
      <c r="D329" s="110" t="s">
        <v>478</v>
      </c>
    </row>
    <row r="330" spans="1:4" x14ac:dyDescent="0.2">
      <c r="A330" s="103" t="s">
        <v>1012</v>
      </c>
      <c r="B330" s="104" t="s">
        <v>252</v>
      </c>
      <c r="C330" s="104" t="s">
        <v>1011</v>
      </c>
      <c r="D330" s="110" t="s">
        <v>1011</v>
      </c>
    </row>
    <row r="331" spans="1:4" x14ac:dyDescent="0.2">
      <c r="A331" s="103" t="s">
        <v>616</v>
      </c>
      <c r="B331" s="104" t="s">
        <v>617</v>
      </c>
      <c r="C331" s="104" t="s">
        <v>618</v>
      </c>
      <c r="D331" s="110" t="s">
        <v>618</v>
      </c>
    </row>
    <row r="332" spans="1:4" x14ac:dyDescent="0.2">
      <c r="A332" s="103" t="s">
        <v>619</v>
      </c>
      <c r="B332" s="104" t="s">
        <v>617</v>
      </c>
      <c r="C332" s="104" t="s">
        <v>460</v>
      </c>
      <c r="D332" s="110" t="s">
        <v>460</v>
      </c>
    </row>
    <row r="333" spans="1:4" x14ac:dyDescent="0.2">
      <c r="A333" s="103" t="s">
        <v>620</v>
      </c>
      <c r="B333" s="104" t="s">
        <v>617</v>
      </c>
      <c r="C333" s="104" t="s">
        <v>460</v>
      </c>
      <c r="D333" s="110" t="s">
        <v>642</v>
      </c>
    </row>
    <row r="334" spans="1:4" x14ac:dyDescent="0.2">
      <c r="A334" s="103" t="s">
        <v>962</v>
      </c>
      <c r="B334" s="104" t="s">
        <v>617</v>
      </c>
      <c r="C334" s="104" t="s">
        <v>460</v>
      </c>
      <c r="D334" s="110" t="s">
        <v>963</v>
      </c>
    </row>
    <row r="335" spans="1:4" x14ac:dyDescent="0.2">
      <c r="A335" s="103" t="s">
        <v>964</v>
      </c>
      <c r="B335" s="104" t="s">
        <v>617</v>
      </c>
      <c r="C335" s="104" t="s">
        <v>460</v>
      </c>
      <c r="D335" s="110" t="s">
        <v>965</v>
      </c>
    </row>
    <row r="336" spans="1:4" x14ac:dyDescent="0.2">
      <c r="A336" s="103" t="s">
        <v>966</v>
      </c>
      <c r="B336" s="104" t="s">
        <v>617</v>
      </c>
      <c r="C336" s="104" t="s">
        <v>460</v>
      </c>
      <c r="D336" s="110" t="s">
        <v>967</v>
      </c>
    </row>
    <row r="337" spans="1:4" x14ac:dyDescent="0.2">
      <c r="A337" s="103" t="s">
        <v>1155</v>
      </c>
      <c r="B337" s="104" t="s">
        <v>617</v>
      </c>
      <c r="C337" s="104" t="s">
        <v>460</v>
      </c>
      <c r="D337" s="110" t="s">
        <v>1156</v>
      </c>
    </row>
    <row r="338" spans="1:4" x14ac:dyDescent="0.2">
      <c r="A338" s="103" t="s">
        <v>645</v>
      </c>
      <c r="B338" s="104" t="s">
        <v>646</v>
      </c>
      <c r="C338" s="104" t="s">
        <v>647</v>
      </c>
      <c r="D338" s="110" t="s">
        <v>647</v>
      </c>
    </row>
    <row r="339" spans="1:4" x14ac:dyDescent="0.2">
      <c r="A339" s="103" t="s">
        <v>886</v>
      </c>
      <c r="B339" s="104" t="s">
        <v>646</v>
      </c>
      <c r="C339" s="104" t="s">
        <v>647</v>
      </c>
      <c r="D339" s="110" t="s">
        <v>968</v>
      </c>
    </row>
    <row r="340" spans="1:4" x14ac:dyDescent="0.2">
      <c r="A340" s="103" t="s">
        <v>648</v>
      </c>
      <c r="B340" s="104" t="s">
        <v>646</v>
      </c>
      <c r="C340" s="104" t="s">
        <v>672</v>
      </c>
      <c r="D340" s="104" t="s">
        <v>672</v>
      </c>
    </row>
    <row r="341" spans="1:4" x14ac:dyDescent="0.2">
      <c r="A341" s="103" t="s">
        <v>649</v>
      </c>
      <c r="B341" s="104" t="s">
        <v>646</v>
      </c>
      <c r="C341" s="104" t="s">
        <v>672</v>
      </c>
      <c r="D341" s="104" t="s">
        <v>613</v>
      </c>
    </row>
    <row r="342" spans="1:4" x14ac:dyDescent="0.2">
      <c r="A342" s="103" t="s">
        <v>650</v>
      </c>
      <c r="B342" s="104" t="s">
        <v>646</v>
      </c>
      <c r="C342" s="104" t="s">
        <v>672</v>
      </c>
      <c r="D342" s="104" t="s">
        <v>969</v>
      </c>
    </row>
    <row r="343" spans="1:4" x14ac:dyDescent="0.2">
      <c r="A343" s="103" t="s">
        <v>673</v>
      </c>
      <c r="B343" s="104" t="s">
        <v>35</v>
      </c>
      <c r="C343" s="104" t="s">
        <v>301</v>
      </c>
      <c r="D343" s="104" t="s">
        <v>301</v>
      </c>
    </row>
    <row r="344" spans="1:4" x14ac:dyDescent="0.2">
      <c r="A344" s="103" t="s">
        <v>689</v>
      </c>
      <c r="B344" s="104" t="s">
        <v>970</v>
      </c>
      <c r="C344" s="104" t="s">
        <v>690</v>
      </c>
      <c r="D344" s="104" t="s">
        <v>690</v>
      </c>
    </row>
    <row r="345" spans="1:4" x14ac:dyDescent="0.2">
      <c r="A345" s="103" t="s">
        <v>691</v>
      </c>
      <c r="B345" s="104" t="s">
        <v>970</v>
      </c>
      <c r="C345" s="104" t="s">
        <v>690</v>
      </c>
      <c r="D345" s="104" t="s">
        <v>344</v>
      </c>
    </row>
    <row r="346" spans="1:4" x14ac:dyDescent="0.2">
      <c r="A346" s="103" t="s">
        <v>971</v>
      </c>
      <c r="B346" s="104" t="s">
        <v>970</v>
      </c>
      <c r="C346" s="104" t="s">
        <v>690</v>
      </c>
      <c r="D346" s="104" t="s">
        <v>972</v>
      </c>
    </row>
    <row r="347" spans="1:4" x14ac:dyDescent="0.2">
      <c r="A347" s="103" t="s">
        <v>973</v>
      </c>
      <c r="B347" s="104" t="s">
        <v>970</v>
      </c>
      <c r="C347" s="104" t="s">
        <v>690</v>
      </c>
      <c r="D347" s="104" t="s">
        <v>974</v>
      </c>
    </row>
    <row r="348" spans="1:4" x14ac:dyDescent="0.2">
      <c r="A348" s="103" t="s">
        <v>975</v>
      </c>
      <c r="B348" s="104" t="s">
        <v>970</v>
      </c>
      <c r="C348" s="104" t="s">
        <v>690</v>
      </c>
      <c r="D348" s="104" t="s">
        <v>976</v>
      </c>
    </row>
    <row r="349" spans="1:4" x14ac:dyDescent="0.2">
      <c r="A349" s="103" t="s">
        <v>692</v>
      </c>
      <c r="B349" s="104" t="s">
        <v>970</v>
      </c>
      <c r="C349" s="104" t="s">
        <v>693</v>
      </c>
      <c r="D349" s="104" t="s">
        <v>693</v>
      </c>
    </row>
    <row r="350" spans="1:4" x14ac:dyDescent="0.2">
      <c r="A350" s="103" t="s">
        <v>694</v>
      </c>
      <c r="B350" s="104" t="s">
        <v>970</v>
      </c>
      <c r="C350" s="104" t="s">
        <v>695</v>
      </c>
      <c r="D350" s="104" t="s">
        <v>695</v>
      </c>
    </row>
    <row r="351" spans="1:4" x14ac:dyDescent="0.2">
      <c r="A351" s="103" t="s">
        <v>696</v>
      </c>
      <c r="B351" s="104" t="s">
        <v>970</v>
      </c>
      <c r="C351" s="104" t="s">
        <v>695</v>
      </c>
      <c r="D351" s="104" t="s">
        <v>977</v>
      </c>
    </row>
    <row r="352" spans="1:4" x14ac:dyDescent="0.2">
      <c r="A352" s="103" t="s">
        <v>697</v>
      </c>
      <c r="B352" s="104" t="s">
        <v>970</v>
      </c>
      <c r="C352" s="104" t="s">
        <v>695</v>
      </c>
      <c r="D352" s="104" t="s">
        <v>698</v>
      </c>
    </row>
    <row r="353" spans="1:4" x14ac:dyDescent="0.2">
      <c r="A353" s="103" t="s">
        <v>852</v>
      </c>
      <c r="B353" s="104" t="s">
        <v>970</v>
      </c>
      <c r="C353" s="104" t="s">
        <v>695</v>
      </c>
      <c r="D353" s="104" t="s">
        <v>978</v>
      </c>
    </row>
    <row r="354" spans="1:4" x14ac:dyDescent="0.2">
      <c r="A354" s="103" t="s">
        <v>979</v>
      </c>
      <c r="B354" s="104" t="s">
        <v>970</v>
      </c>
      <c r="C354" s="104" t="s">
        <v>695</v>
      </c>
      <c r="D354" s="110" t="s">
        <v>980</v>
      </c>
    </row>
    <row r="355" spans="1:4" x14ac:dyDescent="0.2">
      <c r="A355" s="103" t="s">
        <v>803</v>
      </c>
      <c r="B355" s="104" t="s">
        <v>804</v>
      </c>
      <c r="C355" s="104" t="s">
        <v>853</v>
      </c>
      <c r="D355" s="110" t="s">
        <v>853</v>
      </c>
    </row>
    <row r="356" spans="1:4" x14ac:dyDescent="0.2">
      <c r="A356" s="103" t="s">
        <v>808</v>
      </c>
      <c r="B356" s="104" t="s">
        <v>804</v>
      </c>
      <c r="C356" s="104" t="s">
        <v>853</v>
      </c>
      <c r="D356" s="110" t="s">
        <v>981</v>
      </c>
    </row>
    <row r="357" spans="1:4" x14ac:dyDescent="0.2">
      <c r="A357" s="103" t="s">
        <v>839</v>
      </c>
      <c r="B357" s="104" t="s">
        <v>804</v>
      </c>
      <c r="C357" s="104" t="s">
        <v>853</v>
      </c>
      <c r="D357" s="110" t="s">
        <v>840</v>
      </c>
    </row>
    <row r="358" spans="1:4" x14ac:dyDescent="0.2">
      <c r="A358" s="103" t="s">
        <v>809</v>
      </c>
      <c r="B358" s="104" t="s">
        <v>804</v>
      </c>
      <c r="C358" s="104" t="s">
        <v>810</v>
      </c>
      <c r="D358" s="110" t="s">
        <v>810</v>
      </c>
    </row>
    <row r="359" spans="1:4" x14ac:dyDescent="0.2">
      <c r="A359" s="103" t="s">
        <v>811</v>
      </c>
      <c r="B359" s="104" t="s">
        <v>804</v>
      </c>
      <c r="C359" s="104" t="s">
        <v>810</v>
      </c>
      <c r="D359" s="110" t="s">
        <v>982</v>
      </c>
    </row>
    <row r="360" spans="1:4" x14ac:dyDescent="0.2">
      <c r="A360" s="103" t="s">
        <v>844</v>
      </c>
      <c r="B360" s="104" t="s">
        <v>804</v>
      </c>
      <c r="C360" s="104" t="s">
        <v>810</v>
      </c>
      <c r="D360" s="110" t="s">
        <v>845</v>
      </c>
    </row>
    <row r="361" spans="1:4" x14ac:dyDescent="0.2">
      <c r="A361" s="103" t="s">
        <v>857</v>
      </c>
      <c r="B361" s="104" t="s">
        <v>858</v>
      </c>
      <c r="C361" s="104" t="s">
        <v>756</v>
      </c>
      <c r="D361" s="110" t="s">
        <v>756</v>
      </c>
    </row>
    <row r="362" spans="1:4" x14ac:dyDescent="0.2">
      <c r="A362" s="103" t="s">
        <v>859</v>
      </c>
      <c r="B362" s="104" t="s">
        <v>858</v>
      </c>
      <c r="C362" s="104" t="s">
        <v>757</v>
      </c>
      <c r="D362" s="110" t="s">
        <v>757</v>
      </c>
    </row>
    <row r="363" spans="1:4" x14ac:dyDescent="0.2">
      <c r="A363" s="103" t="s">
        <v>860</v>
      </c>
      <c r="B363" s="104" t="s">
        <v>858</v>
      </c>
      <c r="C363" s="104" t="s">
        <v>758</v>
      </c>
      <c r="D363" s="110" t="s">
        <v>758</v>
      </c>
    </row>
    <row r="364" spans="1:4" x14ac:dyDescent="0.2">
      <c r="A364" s="103" t="s">
        <v>861</v>
      </c>
      <c r="B364" s="104" t="s">
        <v>858</v>
      </c>
      <c r="C364" s="104" t="s">
        <v>759</v>
      </c>
      <c r="D364" s="110" t="s">
        <v>759</v>
      </c>
    </row>
    <row r="365" spans="1:4" x14ac:dyDescent="0.2">
      <c r="A365" s="103" t="s">
        <v>862</v>
      </c>
      <c r="B365" s="104" t="s">
        <v>858</v>
      </c>
      <c r="C365" s="104" t="s">
        <v>760</v>
      </c>
      <c r="D365" s="110" t="s">
        <v>760</v>
      </c>
    </row>
    <row r="366" spans="1:4" x14ac:dyDescent="0.2">
      <c r="A366" s="103" t="s">
        <v>863</v>
      </c>
      <c r="B366" s="104" t="s">
        <v>858</v>
      </c>
      <c r="C366" s="104" t="s">
        <v>864</v>
      </c>
      <c r="D366" s="110" t="s">
        <v>864</v>
      </c>
    </row>
    <row r="367" spans="1:4" x14ac:dyDescent="0.2">
      <c r="A367" s="103" t="s">
        <v>865</v>
      </c>
      <c r="B367" s="104" t="s">
        <v>858</v>
      </c>
      <c r="C367" s="104" t="s">
        <v>761</v>
      </c>
      <c r="D367" s="110" t="s">
        <v>761</v>
      </c>
    </row>
    <row r="368" spans="1:4" x14ac:dyDescent="0.2">
      <c r="A368" s="103" t="s">
        <v>866</v>
      </c>
      <c r="B368" s="104" t="s">
        <v>858</v>
      </c>
      <c r="C368" s="104" t="s">
        <v>762</v>
      </c>
      <c r="D368" s="110" t="s">
        <v>762</v>
      </c>
    </row>
    <row r="369" spans="1:4" x14ac:dyDescent="0.2">
      <c r="A369" s="103" t="s">
        <v>867</v>
      </c>
      <c r="B369" s="104" t="s">
        <v>858</v>
      </c>
      <c r="C369" s="104" t="s">
        <v>763</v>
      </c>
      <c r="D369" s="110" t="s">
        <v>763</v>
      </c>
    </row>
    <row r="370" spans="1:4" x14ac:dyDescent="0.2">
      <c r="A370" s="103" t="s">
        <v>868</v>
      </c>
      <c r="B370" s="104" t="s">
        <v>858</v>
      </c>
      <c r="C370" s="104" t="s">
        <v>764</v>
      </c>
      <c r="D370" s="110" t="s">
        <v>764</v>
      </c>
    </row>
    <row r="371" spans="1:4" x14ac:dyDescent="0.2">
      <c r="A371" s="103" t="s">
        <v>869</v>
      </c>
      <c r="B371" s="104" t="s">
        <v>858</v>
      </c>
      <c r="C371" s="104" t="s">
        <v>765</v>
      </c>
      <c r="D371" s="110" t="s">
        <v>765</v>
      </c>
    </row>
    <row r="372" spans="1:4" x14ac:dyDescent="0.2">
      <c r="A372" s="103" t="s">
        <v>870</v>
      </c>
      <c r="B372" s="104" t="s">
        <v>858</v>
      </c>
      <c r="C372" s="104" t="s">
        <v>766</v>
      </c>
      <c r="D372" s="110" t="s">
        <v>766</v>
      </c>
    </row>
    <row r="373" spans="1:4" x14ac:dyDescent="0.2">
      <c r="A373" s="103" t="s">
        <v>871</v>
      </c>
      <c r="B373" s="104" t="s">
        <v>858</v>
      </c>
      <c r="C373" s="104" t="s">
        <v>308</v>
      </c>
      <c r="D373" s="110" t="s">
        <v>308</v>
      </c>
    </row>
    <row r="374" spans="1:4" x14ac:dyDescent="0.2">
      <c r="A374" s="103" t="s">
        <v>872</v>
      </c>
      <c r="B374" s="104" t="s">
        <v>858</v>
      </c>
      <c r="C374" s="104" t="s">
        <v>767</v>
      </c>
      <c r="D374" s="110" t="s">
        <v>767</v>
      </c>
    </row>
    <row r="375" spans="1:4" x14ac:dyDescent="0.2">
      <c r="A375" s="103" t="s">
        <v>873</v>
      </c>
      <c r="B375" s="104" t="s">
        <v>858</v>
      </c>
      <c r="C375" s="104" t="s">
        <v>768</v>
      </c>
      <c r="D375" s="110" t="s">
        <v>768</v>
      </c>
    </row>
    <row r="376" spans="1:4" x14ac:dyDescent="0.2">
      <c r="A376" s="103" t="s">
        <v>874</v>
      </c>
      <c r="B376" s="104" t="s">
        <v>858</v>
      </c>
      <c r="C376" s="104" t="s">
        <v>677</v>
      </c>
      <c r="D376" s="110" t="s">
        <v>677</v>
      </c>
    </row>
    <row r="377" spans="1:4" x14ac:dyDescent="0.2">
      <c r="A377" s="104" t="s">
        <v>1157</v>
      </c>
      <c r="B377" s="104" t="s">
        <v>1158</v>
      </c>
      <c r="C377" s="110" t="s">
        <v>1159</v>
      </c>
      <c r="D377" s="104" t="s">
        <v>1159</v>
      </c>
    </row>
    <row r="378" spans="1:4" x14ac:dyDescent="0.2">
      <c r="A378" s="104" t="s">
        <v>1160</v>
      </c>
      <c r="B378" s="104" t="s">
        <v>1158</v>
      </c>
      <c r="C378" s="110" t="s">
        <v>1161</v>
      </c>
      <c r="D378" s="104" t="s">
        <v>1161</v>
      </c>
    </row>
    <row r="379" spans="1:4" x14ac:dyDescent="0.2">
      <c r="A379" s="104" t="s">
        <v>1162</v>
      </c>
      <c r="B379" s="104" t="s">
        <v>1158</v>
      </c>
      <c r="C379" s="110" t="s">
        <v>1161</v>
      </c>
      <c r="D379" s="104" t="s">
        <v>1163</v>
      </c>
    </row>
    <row r="380" spans="1:4" x14ac:dyDescent="0.2">
      <c r="A380" s="104" t="s">
        <v>1164</v>
      </c>
      <c r="B380" s="104" t="s">
        <v>1158</v>
      </c>
      <c r="C380" s="110" t="s">
        <v>307</v>
      </c>
      <c r="D380" s="104" t="s">
        <v>307</v>
      </c>
    </row>
    <row r="381" spans="1:4" x14ac:dyDescent="0.2">
      <c r="A381" s="104" t="s">
        <v>1165</v>
      </c>
      <c r="B381" s="104" t="s">
        <v>1158</v>
      </c>
      <c r="C381" s="110" t="s">
        <v>1166</v>
      </c>
      <c r="D381" s="104" t="s">
        <v>1166</v>
      </c>
    </row>
    <row r="382" spans="1:4" x14ac:dyDescent="0.2">
      <c r="A382" s="104" t="s">
        <v>1167</v>
      </c>
      <c r="B382" s="104" t="s">
        <v>1158</v>
      </c>
      <c r="C382" s="110" t="s">
        <v>1168</v>
      </c>
      <c r="D382" s="104" t="s">
        <v>1168</v>
      </c>
    </row>
    <row r="383" spans="1:4" x14ac:dyDescent="0.2">
      <c r="A383" s="104" t="s">
        <v>1169</v>
      </c>
      <c r="B383" s="104" t="s">
        <v>1158</v>
      </c>
      <c r="C383" s="110" t="s">
        <v>1009</v>
      </c>
      <c r="D383" s="104" t="s">
        <v>1009</v>
      </c>
    </row>
    <row r="384" spans="1:4" x14ac:dyDescent="0.2">
      <c r="A384" s="103" t="s">
        <v>983</v>
      </c>
      <c r="B384" s="104" t="s">
        <v>984</v>
      </c>
      <c r="C384" s="104" t="s">
        <v>985</v>
      </c>
      <c r="D384" s="110" t="s">
        <v>986</v>
      </c>
    </row>
    <row r="385" spans="1:4" x14ac:dyDescent="0.2">
      <c r="A385" s="103" t="s">
        <v>987</v>
      </c>
      <c r="B385" s="104" t="s">
        <v>984</v>
      </c>
      <c r="C385" s="104" t="s">
        <v>985</v>
      </c>
      <c r="D385" s="110" t="s">
        <v>988</v>
      </c>
    </row>
    <row r="386" spans="1:4" x14ac:dyDescent="0.2">
      <c r="A386" s="103" t="s">
        <v>989</v>
      </c>
      <c r="B386" s="104" t="s">
        <v>984</v>
      </c>
      <c r="C386" s="104" t="s">
        <v>985</v>
      </c>
      <c r="D386" s="110" t="s">
        <v>990</v>
      </c>
    </row>
    <row r="387" spans="1:4" x14ac:dyDescent="0.2">
      <c r="A387" s="103" t="s">
        <v>991</v>
      </c>
      <c r="B387" s="104" t="s">
        <v>984</v>
      </c>
      <c r="C387" s="104" t="s">
        <v>985</v>
      </c>
      <c r="D387" s="110" t="s">
        <v>992</v>
      </c>
    </row>
    <row r="388" spans="1:4" x14ac:dyDescent="0.2">
      <c r="A388" s="103" t="s">
        <v>993</v>
      </c>
      <c r="B388" s="104" t="s">
        <v>984</v>
      </c>
      <c r="C388" s="104" t="s">
        <v>985</v>
      </c>
      <c r="D388" s="110" t="s">
        <v>994</v>
      </c>
    </row>
    <row r="389" spans="1:4" x14ac:dyDescent="0.2">
      <c r="A389" s="103" t="s">
        <v>995</v>
      </c>
      <c r="B389" s="104" t="s">
        <v>984</v>
      </c>
      <c r="C389" s="104" t="s">
        <v>985</v>
      </c>
      <c r="D389" s="110" t="s">
        <v>996</v>
      </c>
    </row>
    <row r="390" spans="1:4" x14ac:dyDescent="0.2">
      <c r="A390" s="103" t="s">
        <v>997</v>
      </c>
      <c r="B390" s="104" t="s">
        <v>984</v>
      </c>
      <c r="C390" s="104" t="s">
        <v>985</v>
      </c>
      <c r="D390" s="110" t="s">
        <v>998</v>
      </c>
    </row>
    <row r="391" spans="1:4" x14ac:dyDescent="0.2">
      <c r="A391" s="103" t="s">
        <v>999</v>
      </c>
      <c r="B391" s="104" t="s">
        <v>984</v>
      </c>
      <c r="C391" s="104" t="s">
        <v>985</v>
      </c>
      <c r="D391" s="110" t="s">
        <v>1000</v>
      </c>
    </row>
    <row r="392" spans="1:4" x14ac:dyDescent="0.2">
      <c r="A392" s="103" t="s">
        <v>1001</v>
      </c>
      <c r="B392" s="104" t="s">
        <v>984</v>
      </c>
      <c r="C392" s="104" t="s">
        <v>985</v>
      </c>
      <c r="D392" s="110" t="s">
        <v>1002</v>
      </c>
    </row>
    <row r="393" spans="1:4" x14ac:dyDescent="0.2">
      <c r="A393" s="103" t="s">
        <v>1003</v>
      </c>
      <c r="B393" s="104" t="s">
        <v>984</v>
      </c>
      <c r="C393" s="104" t="s">
        <v>985</v>
      </c>
      <c r="D393" s="110" t="s">
        <v>1004</v>
      </c>
    </row>
    <row r="394" spans="1:4" x14ac:dyDescent="0.2">
      <c r="A394" s="103" t="s">
        <v>1005</v>
      </c>
      <c r="B394" s="104" t="s">
        <v>984</v>
      </c>
      <c r="C394" s="104" t="s">
        <v>985</v>
      </c>
      <c r="D394" s="110" t="s">
        <v>1006</v>
      </c>
    </row>
    <row r="395" spans="1:4" x14ac:dyDescent="0.2">
      <c r="A395" s="103" t="s">
        <v>1007</v>
      </c>
      <c r="B395" s="104" t="s">
        <v>984</v>
      </c>
      <c r="C395" s="104" t="s">
        <v>985</v>
      </c>
      <c r="D395" s="110" t="s">
        <v>1008</v>
      </c>
    </row>
    <row r="396" spans="1:4" x14ac:dyDescent="0.2">
      <c r="A396" s="103" t="s">
        <v>1170</v>
      </c>
      <c r="B396" s="104" t="s">
        <v>1171</v>
      </c>
      <c r="C396" s="104" t="s">
        <v>1172</v>
      </c>
      <c r="D396" s="110" t="s">
        <v>1172</v>
      </c>
    </row>
  </sheetData>
  <sheetProtection algorithmName="SHA-512" hashValue="qj+hluIr4UnK6Xobu2ZJ3UiRndSF5qURJWiOnusegxWNRc0wNKPz4EZG6BZTTfME61vVKcUZPvz9+KbrsyaDmQ==" saltValue="kImYSPHwSJxw9sGQb4ZoOg==" spinCount="100000" sheet="1" objects="1" scenarios="1"/>
  <pageMargins left="0.35433070866141736" right="0.23622047244094491" top="0.31496062992125984" bottom="0.19685039370078741" header="0.31496062992125984" footer="0.19685039370078741"/>
  <pageSetup scale="75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E220"/>
  <sheetViews>
    <sheetView showGridLines="0" topLeftCell="A110" zoomScale="85" zoomScaleNormal="85" workbookViewId="0">
      <selection activeCell="K131" sqref="J131:K131"/>
    </sheetView>
  </sheetViews>
  <sheetFormatPr baseColWidth="10" defaultColWidth="9.140625" defaultRowHeight="15" x14ac:dyDescent="0.25"/>
  <cols>
    <col min="1" max="1" width="87.7109375" customWidth="1"/>
    <col min="2" max="2" width="28.7109375" customWidth="1"/>
    <col min="3" max="3" width="12.85546875" bestFit="1" customWidth="1"/>
    <col min="4" max="4" width="15.42578125" bestFit="1" customWidth="1"/>
    <col min="5" max="5" width="9.140625" style="1"/>
  </cols>
  <sheetData>
    <row r="1" spans="1:5" ht="15.75" thickBot="1" x14ac:dyDescent="0.3">
      <c r="A1" s="21" t="s">
        <v>531</v>
      </c>
      <c r="B1" s="22"/>
    </row>
    <row r="2" spans="1:5" ht="15.75" thickBot="1" x14ac:dyDescent="0.3">
      <c r="A2" s="21" t="s">
        <v>532</v>
      </c>
      <c r="B2" s="22"/>
    </row>
    <row r="3" spans="1:5" ht="15.75" thickBot="1" x14ac:dyDescent="0.3">
      <c r="A3" s="23" t="s">
        <v>257</v>
      </c>
      <c r="B3" s="24" t="s">
        <v>258</v>
      </c>
      <c r="D3">
        <v>42</v>
      </c>
      <c r="E3" s="1">
        <v>42</v>
      </c>
    </row>
    <row r="4" spans="1:5" ht="15.75" thickBot="1" x14ac:dyDescent="0.3">
      <c r="A4" s="25" t="s">
        <v>533</v>
      </c>
      <c r="B4" s="26">
        <v>10</v>
      </c>
      <c r="D4">
        <f>D3+7</f>
        <v>49</v>
      </c>
      <c r="E4" s="1">
        <v>35</v>
      </c>
    </row>
    <row r="5" spans="1:5" ht="15.75" thickBot="1" x14ac:dyDescent="0.3">
      <c r="A5" s="27" t="s">
        <v>534</v>
      </c>
      <c r="B5" s="26">
        <v>11</v>
      </c>
      <c r="D5">
        <f t="shared" ref="D5:D16" si="0">D4+7</f>
        <v>56</v>
      </c>
      <c r="E5" s="1">
        <v>28</v>
      </c>
    </row>
    <row r="6" spans="1:5" ht="15.75" thickBot="1" x14ac:dyDescent="0.3">
      <c r="A6" s="27" t="s">
        <v>535</v>
      </c>
      <c r="B6" s="26">
        <v>12</v>
      </c>
      <c r="D6">
        <f t="shared" si="0"/>
        <v>63</v>
      </c>
      <c r="E6" s="1">
        <v>21</v>
      </c>
    </row>
    <row r="7" spans="1:5" ht="15.75" thickBot="1" x14ac:dyDescent="0.3">
      <c r="A7" s="67" t="s">
        <v>674</v>
      </c>
      <c r="B7" s="26">
        <v>13</v>
      </c>
      <c r="D7">
        <f t="shared" si="0"/>
        <v>70</v>
      </c>
      <c r="E7" s="1">
        <v>14</v>
      </c>
    </row>
    <row r="8" spans="1:5" ht="15.75" thickBot="1" x14ac:dyDescent="0.3">
      <c r="A8" s="68" t="s">
        <v>675</v>
      </c>
      <c r="B8" s="26">
        <v>14</v>
      </c>
      <c r="D8">
        <f>D7+7</f>
        <v>77</v>
      </c>
      <c r="E8" s="1">
        <v>7</v>
      </c>
    </row>
    <row r="9" spans="1:5" ht="15.75" thickBot="1" x14ac:dyDescent="0.3">
      <c r="A9" s="68" t="s">
        <v>753</v>
      </c>
      <c r="B9" s="26">
        <v>15</v>
      </c>
    </row>
    <row r="10" spans="1:5" ht="15.75" thickBot="1" x14ac:dyDescent="0.3">
      <c r="A10" s="28" t="s">
        <v>536</v>
      </c>
      <c r="B10" s="26">
        <v>20</v>
      </c>
      <c r="D10">
        <f>D8+7</f>
        <v>84</v>
      </c>
    </row>
    <row r="11" spans="1:5" ht="15.75" thickBot="1" x14ac:dyDescent="0.3">
      <c r="A11" s="29" t="s">
        <v>537</v>
      </c>
      <c r="B11" s="26">
        <v>30</v>
      </c>
      <c r="D11">
        <f t="shared" si="0"/>
        <v>91</v>
      </c>
    </row>
    <row r="12" spans="1:5" ht="15.75" thickBot="1" x14ac:dyDescent="0.3">
      <c r="A12" s="25" t="s">
        <v>538</v>
      </c>
      <c r="B12" s="26">
        <v>40</v>
      </c>
      <c r="D12">
        <f t="shared" si="0"/>
        <v>98</v>
      </c>
    </row>
    <row r="13" spans="1:5" ht="15.75" thickBot="1" x14ac:dyDescent="0.3">
      <c r="A13" s="30" t="s">
        <v>539</v>
      </c>
      <c r="B13" s="26">
        <v>50</v>
      </c>
      <c r="D13">
        <f t="shared" si="0"/>
        <v>105</v>
      </c>
    </row>
    <row r="14" spans="1:5" ht="15.75" thickBot="1" x14ac:dyDescent="0.3">
      <c r="A14" s="25" t="s">
        <v>540</v>
      </c>
      <c r="B14" s="26">
        <v>60</v>
      </c>
      <c r="D14">
        <f t="shared" si="0"/>
        <v>112</v>
      </c>
    </row>
    <row r="15" spans="1:5" ht="15.75" thickBot="1" x14ac:dyDescent="0.3">
      <c r="A15" s="31" t="s">
        <v>541</v>
      </c>
      <c r="B15" s="26">
        <v>61</v>
      </c>
      <c r="D15">
        <f>D14+7</f>
        <v>119</v>
      </c>
    </row>
    <row r="16" spans="1:5" ht="15.75" thickBot="1" x14ac:dyDescent="0.3">
      <c r="A16" s="25" t="s">
        <v>542</v>
      </c>
      <c r="B16" s="26">
        <v>70</v>
      </c>
      <c r="D16">
        <f t="shared" si="0"/>
        <v>126</v>
      </c>
    </row>
    <row r="17" spans="1:2" ht="15.75" thickBot="1" x14ac:dyDescent="0.3">
      <c r="A17" s="32" t="s">
        <v>543</v>
      </c>
      <c r="B17" s="26">
        <v>80</v>
      </c>
    </row>
    <row r="18" spans="1:2" ht="15.75" thickBot="1" x14ac:dyDescent="0.3">
      <c r="A18" s="33" t="s">
        <v>544</v>
      </c>
      <c r="B18" s="26">
        <v>90</v>
      </c>
    </row>
    <row r="19" spans="1:2" ht="15.75" thickBot="1" x14ac:dyDescent="0.3">
      <c r="A19" s="34"/>
      <c r="B19" s="35"/>
    </row>
    <row r="20" spans="1:2" ht="15.75" thickBot="1" x14ac:dyDescent="0.3">
      <c r="A20" s="36" t="s">
        <v>545</v>
      </c>
      <c r="B20" s="37"/>
    </row>
    <row r="21" spans="1:2" ht="15.75" thickBot="1" x14ac:dyDescent="0.3">
      <c r="A21" s="21" t="s">
        <v>546</v>
      </c>
      <c r="B21" s="22"/>
    </row>
    <row r="22" spans="1:2" ht="15.75" thickBot="1" x14ac:dyDescent="0.3">
      <c r="A22" s="38" t="s">
        <v>257</v>
      </c>
      <c r="B22" s="39" t="s">
        <v>258</v>
      </c>
    </row>
    <row r="23" spans="1:2" ht="15.75" thickBot="1" x14ac:dyDescent="0.3">
      <c r="A23" s="21" t="s">
        <v>547</v>
      </c>
      <c r="B23" s="40" t="s">
        <v>548</v>
      </c>
    </row>
    <row r="24" spans="1:2" ht="15.75" thickBot="1" x14ac:dyDescent="0.3">
      <c r="A24" s="41" t="s">
        <v>549</v>
      </c>
      <c r="B24" s="42" t="s">
        <v>550</v>
      </c>
    </row>
    <row r="25" spans="1:2" ht="15.75" thickBot="1" x14ac:dyDescent="0.3">
      <c r="A25" s="41" t="s">
        <v>551</v>
      </c>
      <c r="B25" s="42" t="s">
        <v>552</v>
      </c>
    </row>
    <row r="26" spans="1:2" ht="15.75" thickBot="1" x14ac:dyDescent="0.3">
      <c r="A26" s="41" t="s">
        <v>553</v>
      </c>
      <c r="B26" s="42" t="s">
        <v>554</v>
      </c>
    </row>
    <row r="27" spans="1:2" ht="15.75" thickBot="1" x14ac:dyDescent="0.3">
      <c r="A27" s="41" t="s">
        <v>555</v>
      </c>
      <c r="B27" s="56" t="s">
        <v>556</v>
      </c>
    </row>
    <row r="28" spans="1:2" ht="15.75" thickBot="1" x14ac:dyDescent="0.3">
      <c r="A28" s="41" t="s">
        <v>557</v>
      </c>
      <c r="B28" s="42" t="s">
        <v>558</v>
      </c>
    </row>
    <row r="29" spans="1:2" ht="26.25" thickBot="1" x14ac:dyDescent="0.3">
      <c r="A29" s="102" t="s">
        <v>824</v>
      </c>
      <c r="B29" s="56" t="s">
        <v>747</v>
      </c>
    </row>
    <row r="30" spans="1:2" ht="26.25" thickBot="1" x14ac:dyDescent="0.3">
      <c r="A30" s="102" t="s">
        <v>825</v>
      </c>
      <c r="B30" s="56" t="s">
        <v>749</v>
      </c>
    </row>
    <row r="31" spans="1:2" ht="26.25" thickBot="1" x14ac:dyDescent="0.3">
      <c r="A31" s="102" t="s">
        <v>826</v>
      </c>
      <c r="B31" s="56" t="s">
        <v>827</v>
      </c>
    </row>
    <row r="32" spans="1:2" ht="26.25" thickBot="1" x14ac:dyDescent="0.3">
      <c r="A32" s="102" t="s">
        <v>828</v>
      </c>
      <c r="B32" s="56" t="s">
        <v>829</v>
      </c>
    </row>
    <row r="33" spans="1:2" ht="15.75" thickBot="1" x14ac:dyDescent="0.3">
      <c r="A33" s="41" t="s">
        <v>559</v>
      </c>
      <c r="B33" s="42" t="s">
        <v>560</v>
      </c>
    </row>
    <row r="34" spans="1:2" ht="15.75" thickBot="1" x14ac:dyDescent="0.3">
      <c r="A34" s="41" t="s">
        <v>561</v>
      </c>
      <c r="B34" s="42" t="s">
        <v>562</v>
      </c>
    </row>
    <row r="35" spans="1:2" ht="15.75" thickBot="1" x14ac:dyDescent="0.3">
      <c r="A35" s="21" t="s">
        <v>563</v>
      </c>
      <c r="B35" s="43" t="s">
        <v>564</v>
      </c>
    </row>
    <row r="36" spans="1:2" ht="15.75" thickBot="1" x14ac:dyDescent="0.3">
      <c r="A36" s="41" t="s">
        <v>565</v>
      </c>
      <c r="B36" s="42" t="s">
        <v>566</v>
      </c>
    </row>
    <row r="37" spans="1:2" ht="15.75" thickBot="1" x14ac:dyDescent="0.3">
      <c r="A37" s="21" t="s">
        <v>541</v>
      </c>
      <c r="B37" s="44">
        <v>61</v>
      </c>
    </row>
    <row r="38" spans="1:2" ht="15.75" thickBot="1" x14ac:dyDescent="0.3">
      <c r="A38" s="41" t="s">
        <v>567</v>
      </c>
      <c r="B38" s="42" t="s">
        <v>552</v>
      </c>
    </row>
    <row r="39" spans="1:2" ht="15.75" thickBot="1" x14ac:dyDescent="0.3">
      <c r="A39" s="41" t="s">
        <v>568</v>
      </c>
      <c r="B39" s="42" t="s">
        <v>554</v>
      </c>
    </row>
    <row r="40" spans="1:2" ht="15.75" thickBot="1" x14ac:dyDescent="0.3">
      <c r="A40" s="41" t="s">
        <v>569</v>
      </c>
      <c r="B40" s="42" t="s">
        <v>556</v>
      </c>
    </row>
    <row r="41" spans="1:2" ht="15.75" thickBot="1" x14ac:dyDescent="0.3">
      <c r="A41" s="41" t="s">
        <v>570</v>
      </c>
      <c r="B41" s="42" t="s">
        <v>558</v>
      </c>
    </row>
    <row r="42" spans="1:2" ht="15.75" thickBot="1" x14ac:dyDescent="0.3">
      <c r="A42" s="41" t="s">
        <v>571</v>
      </c>
      <c r="B42" s="42" t="s">
        <v>560</v>
      </c>
    </row>
    <row r="43" spans="1:2" ht="15.75" thickBot="1" x14ac:dyDescent="0.3">
      <c r="A43" s="41" t="s">
        <v>572</v>
      </c>
      <c r="B43" s="42" t="s">
        <v>562</v>
      </c>
    </row>
    <row r="44" spans="1:2" ht="15.75" thickBot="1" x14ac:dyDescent="0.3">
      <c r="A44" s="41" t="s">
        <v>573</v>
      </c>
      <c r="B44" s="42" t="s">
        <v>566</v>
      </c>
    </row>
    <row r="45" spans="1:2" ht="15.75" thickBot="1" x14ac:dyDescent="0.3">
      <c r="A45" s="21" t="s">
        <v>574</v>
      </c>
      <c r="B45" s="45">
        <v>20</v>
      </c>
    </row>
    <row r="46" spans="1:2" ht="15.75" thickBot="1" x14ac:dyDescent="0.3">
      <c r="A46" s="41" t="s">
        <v>551</v>
      </c>
      <c r="B46" s="42" t="s">
        <v>552</v>
      </c>
    </row>
    <row r="47" spans="1:2" ht="15.75" thickBot="1" x14ac:dyDescent="0.3">
      <c r="A47" s="41" t="s">
        <v>553</v>
      </c>
      <c r="B47" s="42" t="s">
        <v>554</v>
      </c>
    </row>
    <row r="48" spans="1:2" ht="15.75" thickBot="1" x14ac:dyDescent="0.3">
      <c r="A48" s="41" t="s">
        <v>555</v>
      </c>
      <c r="B48" s="42" t="s">
        <v>556</v>
      </c>
    </row>
    <row r="49" spans="1:2" ht="15.75" thickBot="1" x14ac:dyDescent="0.3">
      <c r="A49" s="41" t="s">
        <v>575</v>
      </c>
      <c r="B49" s="42" t="s">
        <v>576</v>
      </c>
    </row>
    <row r="50" spans="1:2" ht="15.75" thickBot="1" x14ac:dyDescent="0.3">
      <c r="A50" s="41" t="s">
        <v>557</v>
      </c>
      <c r="B50" s="42" t="s">
        <v>558</v>
      </c>
    </row>
    <row r="51" spans="1:2" ht="15.75" thickBot="1" x14ac:dyDescent="0.3">
      <c r="A51" s="41" t="s">
        <v>577</v>
      </c>
      <c r="B51" s="42" t="s">
        <v>578</v>
      </c>
    </row>
    <row r="52" spans="1:2" ht="15.75" thickBot="1" x14ac:dyDescent="0.3">
      <c r="A52" s="41" t="s">
        <v>559</v>
      </c>
      <c r="B52" s="42" t="s">
        <v>560</v>
      </c>
    </row>
    <row r="53" spans="1:2" ht="15.75" thickBot="1" x14ac:dyDescent="0.3">
      <c r="A53" s="41" t="s">
        <v>561</v>
      </c>
      <c r="B53" s="42" t="s">
        <v>562</v>
      </c>
    </row>
    <row r="54" spans="1:2" ht="15.75" thickBot="1" x14ac:dyDescent="0.3">
      <c r="A54" s="21" t="s">
        <v>293</v>
      </c>
      <c r="B54" s="46">
        <v>30</v>
      </c>
    </row>
    <row r="55" spans="1:2" ht="15.75" thickBot="1" x14ac:dyDescent="0.3">
      <c r="A55" s="41" t="s">
        <v>579</v>
      </c>
      <c r="B55" s="42" t="s">
        <v>580</v>
      </c>
    </row>
    <row r="56" spans="1:2" ht="15.75" thickBot="1" x14ac:dyDescent="0.3">
      <c r="A56" s="41" t="s">
        <v>581</v>
      </c>
      <c r="B56" s="42" t="s">
        <v>582</v>
      </c>
    </row>
    <row r="57" spans="1:2" ht="15.75" thickBot="1" x14ac:dyDescent="0.3">
      <c r="A57" s="41" t="s">
        <v>583</v>
      </c>
      <c r="B57" s="42" t="s">
        <v>584</v>
      </c>
    </row>
    <row r="58" spans="1:2" ht="15.75" thickBot="1" x14ac:dyDescent="0.3">
      <c r="A58" s="21" t="s">
        <v>469</v>
      </c>
      <c r="B58" s="47">
        <v>50</v>
      </c>
    </row>
    <row r="59" spans="1:2" ht="15.75" thickBot="1" x14ac:dyDescent="0.3">
      <c r="A59" s="48" t="s">
        <v>551</v>
      </c>
      <c r="B59" s="49" t="s">
        <v>552</v>
      </c>
    </row>
    <row r="60" spans="1:2" ht="15.75" thickBot="1" x14ac:dyDescent="0.3">
      <c r="A60" s="48" t="s">
        <v>553</v>
      </c>
      <c r="B60" s="49" t="s">
        <v>554</v>
      </c>
    </row>
    <row r="61" spans="1:2" ht="15.75" thickBot="1" x14ac:dyDescent="0.3">
      <c r="A61" s="48" t="s">
        <v>585</v>
      </c>
      <c r="B61" s="49" t="s">
        <v>586</v>
      </c>
    </row>
    <row r="62" spans="1:2" ht="15.75" thickBot="1" x14ac:dyDescent="0.3">
      <c r="A62" s="48" t="s">
        <v>555</v>
      </c>
      <c r="B62" s="49" t="s">
        <v>556</v>
      </c>
    </row>
    <row r="63" spans="1:2" ht="15.75" thickBot="1" x14ac:dyDescent="0.3">
      <c r="A63" s="48" t="s">
        <v>557</v>
      </c>
      <c r="B63" s="49" t="s">
        <v>558</v>
      </c>
    </row>
    <row r="64" spans="1:2" ht="15.75" thickBot="1" x14ac:dyDescent="0.3">
      <c r="A64" s="48" t="s">
        <v>559</v>
      </c>
      <c r="B64" s="49" t="s">
        <v>560</v>
      </c>
    </row>
    <row r="65" spans="1:2" ht="15.75" thickBot="1" x14ac:dyDescent="0.3">
      <c r="A65" s="48" t="s">
        <v>561</v>
      </c>
      <c r="B65" s="49" t="s">
        <v>562</v>
      </c>
    </row>
    <row r="66" spans="1:2" ht="15.75" thickBot="1" x14ac:dyDescent="0.3">
      <c r="A66" s="21" t="s">
        <v>469</v>
      </c>
      <c r="B66" s="50">
        <v>80</v>
      </c>
    </row>
    <row r="67" spans="1:2" ht="15.75" thickBot="1" x14ac:dyDescent="0.3">
      <c r="A67" s="48" t="s">
        <v>549</v>
      </c>
      <c r="B67" s="42" t="s">
        <v>550</v>
      </c>
    </row>
    <row r="68" spans="1:2" ht="15.75" thickBot="1" x14ac:dyDescent="0.3">
      <c r="A68" s="48" t="s">
        <v>551</v>
      </c>
      <c r="B68" s="42" t="s">
        <v>552</v>
      </c>
    </row>
    <row r="69" spans="1:2" ht="15.75" thickBot="1" x14ac:dyDescent="0.3">
      <c r="A69" s="48" t="s">
        <v>553</v>
      </c>
      <c r="B69" s="42" t="s">
        <v>554</v>
      </c>
    </row>
    <row r="70" spans="1:2" ht="15.75" thickBot="1" x14ac:dyDescent="0.3">
      <c r="A70" s="48" t="s">
        <v>555</v>
      </c>
      <c r="B70" s="42" t="s">
        <v>556</v>
      </c>
    </row>
    <row r="71" spans="1:2" ht="15.75" thickBot="1" x14ac:dyDescent="0.3">
      <c r="A71" s="48" t="s">
        <v>557</v>
      </c>
      <c r="B71" s="42" t="s">
        <v>558</v>
      </c>
    </row>
    <row r="72" spans="1:2" ht="15.75" thickBot="1" x14ac:dyDescent="0.3">
      <c r="A72" s="48" t="s">
        <v>559</v>
      </c>
      <c r="B72" s="42" t="s">
        <v>560</v>
      </c>
    </row>
    <row r="73" spans="1:2" ht="15.75" thickBot="1" x14ac:dyDescent="0.3">
      <c r="A73" s="48" t="s">
        <v>561</v>
      </c>
      <c r="B73" s="42" t="s">
        <v>562</v>
      </c>
    </row>
    <row r="74" spans="1:2" ht="15.75" thickBot="1" x14ac:dyDescent="0.3">
      <c r="A74" s="48" t="s">
        <v>575</v>
      </c>
      <c r="B74" s="49" t="s">
        <v>576</v>
      </c>
    </row>
    <row r="75" spans="1:2" ht="15.75" thickBot="1" x14ac:dyDescent="0.3">
      <c r="A75" s="48" t="s">
        <v>577</v>
      </c>
      <c r="B75" s="49" t="s">
        <v>578</v>
      </c>
    </row>
    <row r="76" spans="1:2" ht="15.75" thickBot="1" x14ac:dyDescent="0.3">
      <c r="A76" s="48" t="s">
        <v>579</v>
      </c>
      <c r="B76" s="49" t="s">
        <v>580</v>
      </c>
    </row>
    <row r="77" spans="1:2" ht="15.75" thickBot="1" x14ac:dyDescent="0.3">
      <c r="A77" s="48" t="s">
        <v>581</v>
      </c>
      <c r="B77" s="49" t="s">
        <v>582</v>
      </c>
    </row>
    <row r="78" spans="1:2" ht="15.75" thickBot="1" x14ac:dyDescent="0.3">
      <c r="A78" s="48" t="s">
        <v>583</v>
      </c>
      <c r="B78" s="49" t="s">
        <v>584</v>
      </c>
    </row>
    <row r="79" spans="1:2" ht="15.75" thickBot="1" x14ac:dyDescent="0.3">
      <c r="A79" s="48" t="s">
        <v>585</v>
      </c>
      <c r="B79" s="49" t="s">
        <v>586</v>
      </c>
    </row>
    <row r="80" spans="1:2" ht="15.75" thickBot="1" x14ac:dyDescent="0.3">
      <c r="A80" s="247" t="s">
        <v>587</v>
      </c>
      <c r="B80" s="248"/>
    </row>
    <row r="81" spans="1:2" ht="15.75" thickBot="1" x14ac:dyDescent="0.3">
      <c r="A81" s="20" t="s">
        <v>588</v>
      </c>
      <c r="B81" s="51" t="s">
        <v>554</v>
      </c>
    </row>
    <row r="82" spans="1:2" ht="15.75" thickBot="1" x14ac:dyDescent="0.3">
      <c r="A82" s="20" t="s">
        <v>589</v>
      </c>
      <c r="B82" s="51" t="s">
        <v>556</v>
      </c>
    </row>
    <row r="83" spans="1:2" ht="15.75" thickBot="1" x14ac:dyDescent="0.3">
      <c r="A83" s="20" t="s">
        <v>590</v>
      </c>
      <c r="B83" s="51" t="s">
        <v>576</v>
      </c>
    </row>
    <row r="84" spans="1:2" ht="15.75" thickBot="1" x14ac:dyDescent="0.3">
      <c r="A84" s="20" t="s">
        <v>591</v>
      </c>
      <c r="B84" s="51" t="s">
        <v>558</v>
      </c>
    </row>
    <row r="85" spans="1:2" ht="15.75" thickBot="1" x14ac:dyDescent="0.3">
      <c r="A85" s="20" t="s">
        <v>592</v>
      </c>
      <c r="B85" s="51" t="s">
        <v>578</v>
      </c>
    </row>
    <row r="86" spans="1:2" ht="15.75" thickBot="1" x14ac:dyDescent="0.3">
      <c r="A86" s="20" t="s">
        <v>593</v>
      </c>
      <c r="B86" s="51" t="s">
        <v>560</v>
      </c>
    </row>
    <row r="87" spans="1:2" ht="15.75" thickBot="1" x14ac:dyDescent="0.3">
      <c r="A87" s="20" t="s">
        <v>594</v>
      </c>
      <c r="B87" s="51" t="s">
        <v>562</v>
      </c>
    </row>
    <row r="88" spans="1:2" ht="15.75" thickBot="1" x14ac:dyDescent="0.3">
      <c r="A88" s="20" t="s">
        <v>595</v>
      </c>
      <c r="B88" s="51" t="s">
        <v>566</v>
      </c>
    </row>
    <row r="89" spans="1:2" ht="15.75" thickBot="1" x14ac:dyDescent="0.3">
      <c r="A89" s="97" t="s">
        <v>752</v>
      </c>
      <c r="B89" s="98">
        <v>13</v>
      </c>
    </row>
    <row r="90" spans="1:2" ht="15.75" thickBot="1" x14ac:dyDescent="0.3">
      <c r="A90" s="20" t="s">
        <v>553</v>
      </c>
      <c r="B90" s="51" t="s">
        <v>554</v>
      </c>
    </row>
    <row r="91" spans="1:2" ht="15.75" thickBot="1" x14ac:dyDescent="0.3">
      <c r="A91" s="20" t="s">
        <v>555</v>
      </c>
      <c r="B91" s="51" t="s">
        <v>556</v>
      </c>
    </row>
    <row r="92" spans="1:2" ht="15.75" thickBot="1" x14ac:dyDescent="0.3">
      <c r="A92" s="20" t="s">
        <v>743</v>
      </c>
      <c r="B92" s="51" t="s">
        <v>744</v>
      </c>
    </row>
    <row r="93" spans="1:2" ht="15.75" thickBot="1" x14ac:dyDescent="0.3">
      <c r="A93" s="97" t="s">
        <v>751</v>
      </c>
      <c r="B93" s="98">
        <v>14</v>
      </c>
    </row>
    <row r="94" spans="1:2" ht="15.75" thickBot="1" x14ac:dyDescent="0.3">
      <c r="A94" s="20" t="s">
        <v>555</v>
      </c>
      <c r="B94" s="51" t="s">
        <v>556</v>
      </c>
    </row>
    <row r="95" spans="1:2" ht="15.75" thickBot="1" x14ac:dyDescent="0.3">
      <c r="A95" s="20" t="s">
        <v>745</v>
      </c>
      <c r="B95" s="51" t="s">
        <v>558</v>
      </c>
    </row>
    <row r="96" spans="1:2" ht="15.75" thickBot="1" x14ac:dyDescent="0.3">
      <c r="A96" s="20" t="s">
        <v>559</v>
      </c>
      <c r="B96" s="51" t="s">
        <v>560</v>
      </c>
    </row>
    <row r="97" spans="1:2" ht="15.75" thickBot="1" x14ac:dyDescent="0.3">
      <c r="A97" s="20" t="s">
        <v>561</v>
      </c>
      <c r="B97" s="51" t="s">
        <v>562</v>
      </c>
    </row>
    <row r="98" spans="1:2" ht="15.75" thickBot="1" x14ac:dyDescent="0.3">
      <c r="A98" s="97" t="s">
        <v>750</v>
      </c>
      <c r="B98" s="98">
        <v>15</v>
      </c>
    </row>
    <row r="99" spans="1:2" ht="15.75" thickBot="1" x14ac:dyDescent="0.3">
      <c r="A99" s="20" t="s">
        <v>553</v>
      </c>
      <c r="B99" s="51" t="s">
        <v>554</v>
      </c>
    </row>
    <row r="100" spans="1:2" ht="15.75" thickBot="1" x14ac:dyDescent="0.3">
      <c r="A100" s="20" t="s">
        <v>555</v>
      </c>
      <c r="B100" s="51" t="s">
        <v>556</v>
      </c>
    </row>
    <row r="101" spans="1:2" ht="15.75" thickBot="1" x14ac:dyDescent="0.3">
      <c r="A101" s="20" t="s">
        <v>746</v>
      </c>
      <c r="B101" s="51" t="s">
        <v>747</v>
      </c>
    </row>
    <row r="102" spans="1:2" ht="15.75" thickBot="1" x14ac:dyDescent="0.3">
      <c r="A102" s="20" t="s">
        <v>745</v>
      </c>
      <c r="B102" s="51" t="s">
        <v>558</v>
      </c>
    </row>
    <row r="103" spans="1:2" ht="15.75" thickBot="1" x14ac:dyDescent="0.3">
      <c r="A103" s="20" t="s">
        <v>748</v>
      </c>
      <c r="B103" s="51" t="s">
        <v>749</v>
      </c>
    </row>
    <row r="104" spans="1:2" ht="15.75" thickBot="1" x14ac:dyDescent="0.3">
      <c r="A104" s="20" t="s">
        <v>559</v>
      </c>
      <c r="B104" s="51" t="s">
        <v>560</v>
      </c>
    </row>
    <row r="105" spans="1:2" ht="15.75" thickBot="1" x14ac:dyDescent="0.3">
      <c r="A105" s="20" t="s">
        <v>561</v>
      </c>
      <c r="B105" s="51" t="s">
        <v>562</v>
      </c>
    </row>
    <row r="106" spans="1:2" x14ac:dyDescent="0.25">
      <c r="A106" s="95"/>
      <c r="B106" s="96"/>
    </row>
    <row r="107" spans="1:2" x14ac:dyDescent="0.25">
      <c r="A107" s="95"/>
      <c r="B107" s="96"/>
    </row>
    <row r="108" spans="1:2" x14ac:dyDescent="0.25">
      <c r="A108" s="95"/>
      <c r="B108" s="96"/>
    </row>
    <row r="109" spans="1:2" x14ac:dyDescent="0.25">
      <c r="A109" s="95"/>
      <c r="B109" s="96"/>
    </row>
    <row r="110" spans="1:2" x14ac:dyDescent="0.25">
      <c r="A110" s="95"/>
      <c r="B110" s="96"/>
    </row>
    <row r="111" spans="1:2" x14ac:dyDescent="0.25">
      <c r="A111" s="95"/>
      <c r="B111" s="96"/>
    </row>
    <row r="112" spans="1:2" x14ac:dyDescent="0.25">
      <c r="A112" s="35"/>
      <c r="B112" s="35"/>
    </row>
    <row r="113" spans="1:5" ht="15.75" thickBot="1" x14ac:dyDescent="0.3">
      <c r="A113" s="3" t="s">
        <v>255</v>
      </c>
    </row>
    <row r="114" spans="1:5" ht="15.75" thickBot="1" x14ac:dyDescent="0.3">
      <c r="A114" s="245" t="s">
        <v>285</v>
      </c>
      <c r="B114" s="246"/>
      <c r="C114" s="12" t="s">
        <v>283</v>
      </c>
      <c r="D114" s="12"/>
    </row>
    <row r="115" spans="1:5" ht="15.75" thickBot="1" x14ac:dyDescent="0.3">
      <c r="A115" s="245" t="s">
        <v>280</v>
      </c>
      <c r="B115" s="246"/>
      <c r="C115" s="1" t="s">
        <v>47</v>
      </c>
      <c r="D115" s="1" t="s">
        <v>284</v>
      </c>
      <c r="E115" s="1" t="s">
        <v>4</v>
      </c>
    </row>
    <row r="116" spans="1:5" ht="15.75" thickBot="1" x14ac:dyDescent="0.3">
      <c r="A116" s="4" t="s">
        <v>257</v>
      </c>
      <c r="B116" s="5" t="s">
        <v>258</v>
      </c>
      <c r="C116" s="2">
        <v>45627</v>
      </c>
      <c r="D116" s="2">
        <v>45657</v>
      </c>
      <c r="E116" s="100">
        <v>13</v>
      </c>
    </row>
    <row r="117" spans="1:5" ht="15.75" thickBot="1" x14ac:dyDescent="0.3">
      <c r="A117" s="6" t="s">
        <v>281</v>
      </c>
      <c r="B117" s="10" t="s">
        <v>19</v>
      </c>
      <c r="C117" s="2">
        <v>45292</v>
      </c>
      <c r="D117" s="2">
        <v>45626</v>
      </c>
      <c r="E117" s="100">
        <v>14</v>
      </c>
    </row>
    <row r="118" spans="1:5" ht="15.75" thickBot="1" x14ac:dyDescent="0.3">
      <c r="A118" s="6" t="s">
        <v>32</v>
      </c>
      <c r="B118" s="10" t="s">
        <v>11</v>
      </c>
      <c r="C118" s="11">
        <v>45658</v>
      </c>
      <c r="D118" s="11">
        <v>45688</v>
      </c>
      <c r="E118" s="100" t="s">
        <v>18</v>
      </c>
    </row>
    <row r="119" spans="1:5" ht="15.75" thickBot="1" x14ac:dyDescent="0.3">
      <c r="C119" s="2">
        <v>45689</v>
      </c>
      <c r="D119" s="2">
        <v>45716</v>
      </c>
      <c r="E119" s="100" t="s">
        <v>21</v>
      </c>
    </row>
    <row r="120" spans="1:5" ht="15.75" thickBot="1" x14ac:dyDescent="0.3">
      <c r="A120" s="249" t="s">
        <v>488</v>
      </c>
      <c r="B120" s="250"/>
      <c r="C120" s="2">
        <v>45717</v>
      </c>
      <c r="D120" s="2">
        <v>45747</v>
      </c>
      <c r="E120" s="100" t="s">
        <v>16</v>
      </c>
    </row>
    <row r="121" spans="1:5" ht="15.75" thickBot="1" x14ac:dyDescent="0.3">
      <c r="A121" s="249" t="s">
        <v>498</v>
      </c>
      <c r="B121" s="250"/>
      <c r="C121" s="2">
        <v>45748</v>
      </c>
      <c r="D121" s="2">
        <v>45777</v>
      </c>
      <c r="E121" s="100" t="s">
        <v>17</v>
      </c>
    </row>
    <row r="122" spans="1:5" ht="15.75" thickBot="1" x14ac:dyDescent="0.3">
      <c r="A122" s="13" t="s">
        <v>257</v>
      </c>
      <c r="B122" s="14" t="s">
        <v>258</v>
      </c>
      <c r="C122" s="2">
        <v>45778</v>
      </c>
      <c r="D122" s="2">
        <v>45808</v>
      </c>
      <c r="E122" s="100" t="s">
        <v>20</v>
      </c>
    </row>
    <row r="123" spans="1:5" ht="15.75" thickBot="1" x14ac:dyDescent="0.3">
      <c r="A123" s="251" t="s">
        <v>499</v>
      </c>
      <c r="B123" s="252"/>
      <c r="C123" s="2">
        <v>45809</v>
      </c>
      <c r="D123" s="2">
        <v>45838</v>
      </c>
      <c r="E123" s="100" t="s">
        <v>13</v>
      </c>
    </row>
    <row r="124" spans="1:5" ht="15.75" thickBot="1" x14ac:dyDescent="0.3">
      <c r="A124" s="15" t="s">
        <v>489</v>
      </c>
      <c r="B124" s="16" t="s">
        <v>490</v>
      </c>
      <c r="C124" s="2">
        <v>45839</v>
      </c>
      <c r="D124" s="2">
        <v>45869</v>
      </c>
      <c r="E124" s="100" t="s">
        <v>14</v>
      </c>
    </row>
    <row r="125" spans="1:5" ht="15.75" thickBot="1" x14ac:dyDescent="0.3">
      <c r="A125" s="15" t="s">
        <v>491</v>
      </c>
      <c r="B125" s="16" t="s">
        <v>492</v>
      </c>
      <c r="C125" s="2">
        <v>45870</v>
      </c>
      <c r="D125" s="2">
        <v>45900</v>
      </c>
      <c r="E125" s="100" t="s">
        <v>15</v>
      </c>
    </row>
    <row r="126" spans="1:5" ht="16.5" customHeight="1" thickBot="1" x14ac:dyDescent="0.3">
      <c r="A126" s="15" t="s">
        <v>500</v>
      </c>
      <c r="B126" s="16" t="s">
        <v>495</v>
      </c>
      <c r="C126" s="2">
        <v>45901</v>
      </c>
      <c r="D126" s="2">
        <v>45930</v>
      </c>
      <c r="E126" s="100" t="s">
        <v>10</v>
      </c>
    </row>
    <row r="127" spans="1:5" ht="18" customHeight="1" thickBot="1" x14ac:dyDescent="0.3">
      <c r="A127" s="15" t="s">
        <v>493</v>
      </c>
      <c r="B127" s="16" t="s">
        <v>494</v>
      </c>
      <c r="C127" s="2">
        <v>45931</v>
      </c>
      <c r="D127" s="2">
        <v>45961</v>
      </c>
      <c r="E127" s="100" t="s">
        <v>269</v>
      </c>
    </row>
    <row r="128" spans="1:5" ht="15.75" thickBot="1" x14ac:dyDescent="0.3">
      <c r="A128" s="15" t="s">
        <v>496</v>
      </c>
      <c r="B128" s="16" t="s">
        <v>497</v>
      </c>
      <c r="C128" s="2">
        <v>45962</v>
      </c>
      <c r="D128" s="2">
        <v>45991</v>
      </c>
      <c r="E128" s="100" t="s">
        <v>271</v>
      </c>
    </row>
    <row r="129" spans="1:5" ht="15.75" thickBot="1" x14ac:dyDescent="0.3">
      <c r="A129" s="251" t="s">
        <v>501</v>
      </c>
      <c r="B129" s="252"/>
      <c r="C129" s="2">
        <v>45992</v>
      </c>
      <c r="D129" s="2">
        <v>46022</v>
      </c>
      <c r="E129" s="100" t="s">
        <v>273</v>
      </c>
    </row>
    <row r="130" spans="1:5" ht="15.75" thickBot="1" x14ac:dyDescent="0.3">
      <c r="A130" s="15" t="s">
        <v>502</v>
      </c>
      <c r="B130" s="16" t="s">
        <v>503</v>
      </c>
    </row>
    <row r="131" spans="1:5" ht="15.75" thickBot="1" x14ac:dyDescent="0.3">
      <c r="A131" s="15" t="s">
        <v>504</v>
      </c>
      <c r="B131" s="16" t="s">
        <v>505</v>
      </c>
    </row>
    <row r="132" spans="1:5" ht="24.75" thickBot="1" x14ac:dyDescent="0.3">
      <c r="A132" s="15" t="s">
        <v>506</v>
      </c>
      <c r="B132" s="16" t="s">
        <v>507</v>
      </c>
    </row>
    <row r="133" spans="1:5" ht="24.75" thickBot="1" x14ac:dyDescent="0.3">
      <c r="A133" s="15" t="s">
        <v>508</v>
      </c>
      <c r="B133" s="16" t="s">
        <v>509</v>
      </c>
    </row>
    <row r="134" spans="1:5" ht="15.75" thickBot="1" x14ac:dyDescent="0.3">
      <c r="A134" s="72" t="s">
        <v>713</v>
      </c>
      <c r="B134" s="73" t="s">
        <v>510</v>
      </c>
    </row>
    <row r="135" spans="1:5" ht="36.75" thickBot="1" x14ac:dyDescent="0.3">
      <c r="A135" s="72" t="s">
        <v>714</v>
      </c>
      <c r="B135" s="73" t="s">
        <v>712</v>
      </c>
    </row>
    <row r="136" spans="1:5" ht="15.75" thickBot="1" x14ac:dyDescent="0.3">
      <c r="A136" s="15" t="s">
        <v>511</v>
      </c>
      <c r="B136" s="16" t="s">
        <v>512</v>
      </c>
    </row>
    <row r="137" spans="1:5" ht="15.75" thickBot="1" x14ac:dyDescent="0.3">
      <c r="A137" s="15" t="s">
        <v>513</v>
      </c>
      <c r="B137" s="16" t="s">
        <v>514</v>
      </c>
    </row>
    <row r="138" spans="1:5" ht="15.75" thickBot="1" x14ac:dyDescent="0.3">
      <c r="A138" s="15" t="s">
        <v>515</v>
      </c>
      <c r="B138" s="16" t="s">
        <v>516</v>
      </c>
    </row>
    <row r="139" spans="1:5" ht="15.75" thickBot="1" x14ac:dyDescent="0.3"/>
    <row r="140" spans="1:5" ht="15.75" thickBot="1" x14ac:dyDescent="0.3">
      <c r="A140" s="245" t="s">
        <v>523</v>
      </c>
      <c r="B140" s="246"/>
    </row>
    <row r="141" spans="1:5" ht="15.75" thickBot="1" x14ac:dyDescent="0.3">
      <c r="A141" s="245" t="s">
        <v>256</v>
      </c>
      <c r="B141" s="246"/>
    </row>
    <row r="142" spans="1:5" ht="15.75" thickBot="1" x14ac:dyDescent="0.3">
      <c r="A142" s="4" t="s">
        <v>257</v>
      </c>
      <c r="B142" s="5" t="s">
        <v>258</v>
      </c>
    </row>
    <row r="143" spans="1:5" ht="24.75" thickBot="1" x14ac:dyDescent="0.3">
      <c r="A143" s="20" t="s">
        <v>527</v>
      </c>
      <c r="B143" s="7" t="s">
        <v>525</v>
      </c>
    </row>
    <row r="144" spans="1:5" ht="24.75" thickBot="1" x14ac:dyDescent="0.3">
      <c r="A144" s="20" t="s">
        <v>528</v>
      </c>
      <c r="B144" s="7" t="s">
        <v>526</v>
      </c>
    </row>
    <row r="145" spans="1:2" ht="15.75" thickBot="1" x14ac:dyDescent="0.3">
      <c r="A145" s="6" t="s">
        <v>259</v>
      </c>
      <c r="B145" s="7" t="s">
        <v>18</v>
      </c>
    </row>
    <row r="146" spans="1:2" ht="15.75" thickBot="1" x14ac:dyDescent="0.3">
      <c r="A146" s="6" t="s">
        <v>260</v>
      </c>
      <c r="B146" s="7" t="s">
        <v>21</v>
      </c>
    </row>
    <row r="147" spans="1:2" ht="15.75" thickBot="1" x14ac:dyDescent="0.3">
      <c r="A147" s="6" t="s">
        <v>261</v>
      </c>
      <c r="B147" s="7" t="s">
        <v>16</v>
      </c>
    </row>
    <row r="148" spans="1:2" ht="15.75" thickBot="1" x14ac:dyDescent="0.3">
      <c r="A148" s="6" t="s">
        <v>262</v>
      </c>
      <c r="B148" s="7" t="s">
        <v>17</v>
      </c>
    </row>
    <row r="149" spans="1:2" ht="15.75" thickBot="1" x14ac:dyDescent="0.3">
      <c r="A149" s="6" t="s">
        <v>263</v>
      </c>
      <c r="B149" s="7" t="s">
        <v>20</v>
      </c>
    </row>
    <row r="150" spans="1:2" ht="15.75" thickBot="1" x14ac:dyDescent="0.3">
      <c r="A150" s="6" t="s">
        <v>264</v>
      </c>
      <c r="B150" s="7" t="s">
        <v>13</v>
      </c>
    </row>
    <row r="151" spans="1:2" ht="15.75" thickBot="1" x14ac:dyDescent="0.3">
      <c r="A151" s="6" t="s">
        <v>265</v>
      </c>
      <c r="B151" s="7" t="s">
        <v>14</v>
      </c>
    </row>
    <row r="152" spans="1:2" ht="15.75" thickBot="1" x14ac:dyDescent="0.3">
      <c r="A152" s="6" t="s">
        <v>266</v>
      </c>
      <c r="B152" s="7" t="s">
        <v>15</v>
      </c>
    </row>
    <row r="153" spans="1:2" ht="15.75" thickBot="1" x14ac:dyDescent="0.3">
      <c r="A153" s="6" t="s">
        <v>267</v>
      </c>
      <c r="B153" s="7" t="s">
        <v>10</v>
      </c>
    </row>
    <row r="154" spans="1:2" ht="15.75" thickBot="1" x14ac:dyDescent="0.3">
      <c r="A154" s="6" t="s">
        <v>268</v>
      </c>
      <c r="B154" s="7" t="s">
        <v>269</v>
      </c>
    </row>
    <row r="155" spans="1:2" ht="15.75" thickBot="1" x14ac:dyDescent="0.3">
      <c r="A155" s="6" t="s">
        <v>270</v>
      </c>
      <c r="B155" s="7" t="s">
        <v>271</v>
      </c>
    </row>
    <row r="156" spans="1:2" ht="15.75" thickBot="1" x14ac:dyDescent="0.3">
      <c r="A156" s="6" t="s">
        <v>272</v>
      </c>
      <c r="B156" s="7" t="s">
        <v>273</v>
      </c>
    </row>
    <row r="157" spans="1:2" ht="15.75" thickBot="1" x14ac:dyDescent="0.3"/>
    <row r="158" spans="1:2" ht="15.75" thickBot="1" x14ac:dyDescent="0.3">
      <c r="A158" s="245" t="s">
        <v>522</v>
      </c>
      <c r="B158" s="246"/>
    </row>
    <row r="159" spans="1:2" ht="15.75" thickBot="1" x14ac:dyDescent="0.3">
      <c r="A159" s="245" t="s">
        <v>274</v>
      </c>
      <c r="B159" s="246"/>
    </row>
    <row r="160" spans="1:2" ht="15.75" thickBot="1" x14ac:dyDescent="0.3">
      <c r="A160" s="4" t="s">
        <v>257</v>
      </c>
      <c r="B160" s="5" t="s">
        <v>258</v>
      </c>
    </row>
    <row r="161" spans="1:2" ht="15.75" thickBot="1" x14ac:dyDescent="0.3">
      <c r="A161" s="6" t="s">
        <v>275</v>
      </c>
      <c r="B161" s="8">
        <v>1</v>
      </c>
    </row>
    <row r="162" spans="1:2" ht="15.75" thickBot="1" x14ac:dyDescent="0.3">
      <c r="A162" s="6" t="s">
        <v>276</v>
      </c>
      <c r="B162" s="8">
        <v>2</v>
      </c>
    </row>
    <row r="163" spans="1:2" ht="15.75" thickBot="1" x14ac:dyDescent="0.3">
      <c r="A163" s="6" t="s">
        <v>277</v>
      </c>
      <c r="B163" s="8">
        <v>3</v>
      </c>
    </row>
    <row r="164" spans="1:2" ht="15.75" thickBot="1" x14ac:dyDescent="0.3">
      <c r="A164" s="6" t="s">
        <v>278</v>
      </c>
      <c r="B164" s="8">
        <v>4</v>
      </c>
    </row>
    <row r="165" spans="1:2" ht="15.75" thickBot="1" x14ac:dyDescent="0.3">
      <c r="A165" s="78" t="s">
        <v>733</v>
      </c>
      <c r="B165" s="79" t="s">
        <v>734</v>
      </c>
    </row>
    <row r="166" spans="1:2" ht="26.25" thickBot="1" x14ac:dyDescent="0.3">
      <c r="A166" s="78" t="s">
        <v>735</v>
      </c>
      <c r="B166" s="79" t="s">
        <v>736</v>
      </c>
    </row>
    <row r="167" spans="1:2" ht="15.75" thickBot="1" x14ac:dyDescent="0.3">
      <c r="A167" s="80" t="s">
        <v>737</v>
      </c>
      <c r="B167" s="79" t="s">
        <v>738</v>
      </c>
    </row>
    <row r="168" spans="1:2" ht="26.25" thickBot="1" x14ac:dyDescent="0.3">
      <c r="A168" s="80" t="s">
        <v>739</v>
      </c>
      <c r="B168" s="79" t="s">
        <v>740</v>
      </c>
    </row>
    <row r="169" spans="1:2" ht="15.75" thickBot="1" x14ac:dyDescent="0.3">
      <c r="A169" s="69" t="s">
        <v>279</v>
      </c>
      <c r="B169" s="70">
        <v>7</v>
      </c>
    </row>
    <row r="170" spans="1:2" ht="15.75" thickBot="1" x14ac:dyDescent="0.3">
      <c r="A170" s="69" t="s">
        <v>741</v>
      </c>
      <c r="B170" s="70">
        <v>8</v>
      </c>
    </row>
    <row r="171" spans="1:2" ht="15.75" thickBot="1" x14ac:dyDescent="0.3">
      <c r="A171" s="69" t="s">
        <v>706</v>
      </c>
      <c r="B171" s="70">
        <v>9</v>
      </c>
    </row>
    <row r="172" spans="1:2" ht="15.75" thickBot="1" x14ac:dyDescent="0.3">
      <c r="A172" s="69" t="s">
        <v>707</v>
      </c>
      <c r="B172" s="70">
        <v>10</v>
      </c>
    </row>
    <row r="173" spans="1:2" ht="15.75" thickBot="1" x14ac:dyDescent="0.3">
      <c r="A173" s="69" t="s">
        <v>708</v>
      </c>
      <c r="B173" s="70">
        <v>11</v>
      </c>
    </row>
    <row r="174" spans="1:2" ht="15.75" thickBot="1" x14ac:dyDescent="0.3">
      <c r="A174" s="69" t="s">
        <v>709</v>
      </c>
      <c r="B174" s="70">
        <v>12</v>
      </c>
    </row>
    <row r="175" spans="1:2" ht="15.75" thickBot="1" x14ac:dyDescent="0.3">
      <c r="A175" s="69" t="s">
        <v>1131</v>
      </c>
      <c r="B175" s="70">
        <v>14</v>
      </c>
    </row>
    <row r="176" spans="1:2" ht="15.75" thickBot="1" x14ac:dyDescent="0.3">
      <c r="A176" s="69"/>
      <c r="B176" s="70"/>
    </row>
    <row r="177" spans="1:2" ht="15.75" thickBot="1" x14ac:dyDescent="0.3"/>
    <row r="178" spans="1:2" ht="15.75" thickBot="1" x14ac:dyDescent="0.3">
      <c r="A178" s="245" t="s">
        <v>522</v>
      </c>
      <c r="B178" s="246"/>
    </row>
    <row r="179" spans="1:2" ht="15.75" thickBot="1" x14ac:dyDescent="0.3">
      <c r="A179" s="245" t="s">
        <v>282</v>
      </c>
      <c r="B179" s="246"/>
    </row>
    <row r="180" spans="1:2" ht="15.75" thickBot="1" x14ac:dyDescent="0.3">
      <c r="A180" s="4" t="s">
        <v>257</v>
      </c>
      <c r="B180" s="5" t="s">
        <v>258</v>
      </c>
    </row>
    <row r="181" spans="1:2" ht="15.75" thickBot="1" x14ac:dyDescent="0.3">
      <c r="A181" s="6" t="s">
        <v>36</v>
      </c>
      <c r="B181" s="17" t="s">
        <v>23</v>
      </c>
    </row>
    <row r="182" spans="1:2" ht="15.75" thickBot="1" x14ac:dyDescent="0.3">
      <c r="A182" s="6" t="s">
        <v>37</v>
      </c>
      <c r="B182" s="17" t="s">
        <v>24</v>
      </c>
    </row>
    <row r="183" spans="1:2" ht="15.75" thickBot="1" x14ac:dyDescent="0.3">
      <c r="A183" s="9" t="s">
        <v>38</v>
      </c>
      <c r="B183" s="18" t="s">
        <v>25</v>
      </c>
    </row>
    <row r="184" spans="1:2" ht="15.75" thickBot="1" x14ac:dyDescent="0.3">
      <c r="A184" s="9" t="s">
        <v>26</v>
      </c>
      <c r="B184" s="18" t="s">
        <v>12</v>
      </c>
    </row>
    <row r="185" spans="1:2" ht="15.75" thickBot="1" x14ac:dyDescent="0.3">
      <c r="A185" s="9" t="s">
        <v>601</v>
      </c>
      <c r="B185" s="18" t="s">
        <v>600</v>
      </c>
    </row>
    <row r="186" spans="1:2" ht="15.75" thickBot="1" x14ac:dyDescent="0.3">
      <c r="A186" s="9" t="s">
        <v>823</v>
      </c>
      <c r="B186" s="18" t="s">
        <v>822</v>
      </c>
    </row>
    <row r="187" spans="1:2" ht="15.75" thickBot="1" x14ac:dyDescent="0.3"/>
    <row r="188" spans="1:2" ht="15.75" thickBot="1" x14ac:dyDescent="0.3">
      <c r="A188" s="36" t="s">
        <v>657</v>
      </c>
      <c r="B188" s="37"/>
    </row>
    <row r="189" spans="1:2" ht="15.75" thickBot="1" x14ac:dyDescent="0.3">
      <c r="A189" s="4" t="s">
        <v>652</v>
      </c>
      <c r="B189" s="5" t="s">
        <v>258</v>
      </c>
    </row>
    <row r="190" spans="1:2" ht="27.75" thickBot="1" x14ac:dyDescent="0.3">
      <c r="A190" s="60" t="s">
        <v>658</v>
      </c>
      <c r="B190" s="61" t="s">
        <v>653</v>
      </c>
    </row>
    <row r="191" spans="1:2" ht="41.25" thickBot="1" x14ac:dyDescent="0.3">
      <c r="A191" s="60" t="s">
        <v>659</v>
      </c>
      <c r="B191" s="61" t="s">
        <v>19</v>
      </c>
    </row>
    <row r="192" spans="1:2" ht="27.75" thickBot="1" x14ac:dyDescent="0.3">
      <c r="A192" s="60" t="s">
        <v>660</v>
      </c>
      <c r="B192" s="61" t="s">
        <v>654</v>
      </c>
    </row>
    <row r="193" spans="1:2" ht="27.75" thickBot="1" x14ac:dyDescent="0.3">
      <c r="A193" s="60" t="s">
        <v>661</v>
      </c>
      <c r="B193" s="61" t="s">
        <v>655</v>
      </c>
    </row>
    <row r="194" spans="1:2" ht="27.75" thickBot="1" x14ac:dyDescent="0.3">
      <c r="A194" s="60" t="s">
        <v>662</v>
      </c>
      <c r="B194" s="61" t="s">
        <v>663</v>
      </c>
    </row>
    <row r="195" spans="1:2" ht="41.25" thickBot="1" x14ac:dyDescent="0.3">
      <c r="A195" s="60" t="s">
        <v>664</v>
      </c>
      <c r="B195" s="61" t="s">
        <v>665</v>
      </c>
    </row>
    <row r="197" spans="1:2" x14ac:dyDescent="0.25">
      <c r="B197" s="59" t="s">
        <v>490</v>
      </c>
    </row>
    <row r="198" spans="1:2" x14ac:dyDescent="0.25">
      <c r="B198" s="59" t="s">
        <v>492</v>
      </c>
    </row>
    <row r="199" spans="1:2" x14ac:dyDescent="0.25">
      <c r="B199" s="59" t="s">
        <v>495</v>
      </c>
    </row>
    <row r="200" spans="1:2" x14ac:dyDescent="0.25">
      <c r="B200" s="59" t="s">
        <v>494</v>
      </c>
    </row>
    <row r="201" spans="1:2" x14ac:dyDescent="0.25">
      <c r="B201" s="59" t="s">
        <v>497</v>
      </c>
    </row>
    <row r="202" spans="1:2" x14ac:dyDescent="0.25">
      <c r="B202" s="59" t="s">
        <v>503</v>
      </c>
    </row>
    <row r="203" spans="1:2" x14ac:dyDescent="0.25">
      <c r="B203" s="59" t="s">
        <v>505</v>
      </c>
    </row>
    <row r="204" spans="1:2" x14ac:dyDescent="0.25">
      <c r="B204" s="59" t="s">
        <v>507</v>
      </c>
    </row>
    <row r="205" spans="1:2" x14ac:dyDescent="0.25">
      <c r="B205" s="59" t="s">
        <v>509</v>
      </c>
    </row>
    <row r="206" spans="1:2" x14ac:dyDescent="0.25">
      <c r="B206" s="59" t="s">
        <v>510</v>
      </c>
    </row>
    <row r="207" spans="1:2" ht="15.75" thickBot="1" x14ac:dyDescent="0.3">
      <c r="B207" s="71" t="s">
        <v>712</v>
      </c>
    </row>
    <row r="208" spans="1:2" x14ac:dyDescent="0.25">
      <c r="B208" s="59" t="s">
        <v>512</v>
      </c>
    </row>
    <row r="209" spans="1:2" x14ac:dyDescent="0.25">
      <c r="B209" s="59" t="s">
        <v>514</v>
      </c>
    </row>
    <row r="210" spans="1:2" x14ac:dyDescent="0.25">
      <c r="B210" s="59" t="s">
        <v>516</v>
      </c>
    </row>
    <row r="213" spans="1:2" ht="15.75" thickBot="1" x14ac:dyDescent="0.3"/>
    <row r="214" spans="1:2" ht="15.75" thickBot="1" x14ac:dyDescent="0.3">
      <c r="A214" s="241" t="s">
        <v>722</v>
      </c>
      <c r="B214" s="242"/>
    </row>
    <row r="215" spans="1:2" ht="15.75" thickBot="1" x14ac:dyDescent="0.3">
      <c r="A215" s="243" t="s">
        <v>723</v>
      </c>
      <c r="B215" s="244"/>
    </row>
    <row r="216" spans="1:2" ht="15.75" thickBot="1" x14ac:dyDescent="0.3">
      <c r="A216" s="74" t="s">
        <v>724</v>
      </c>
      <c r="B216" s="75" t="s">
        <v>258</v>
      </c>
    </row>
    <row r="217" spans="1:2" ht="15.75" thickBot="1" x14ac:dyDescent="0.3">
      <c r="A217" s="76" t="s">
        <v>725</v>
      </c>
      <c r="B217" s="77" t="s">
        <v>726</v>
      </c>
    </row>
    <row r="218" spans="1:2" ht="15.75" thickBot="1" x14ac:dyDescent="0.3">
      <c r="A218" s="76" t="s">
        <v>727</v>
      </c>
      <c r="B218" s="77" t="s">
        <v>728</v>
      </c>
    </row>
    <row r="219" spans="1:2" ht="15.75" thickBot="1" x14ac:dyDescent="0.3">
      <c r="A219" s="76" t="s">
        <v>729</v>
      </c>
      <c r="B219" s="77" t="s">
        <v>730</v>
      </c>
    </row>
    <row r="220" spans="1:2" ht="15.75" thickBot="1" x14ac:dyDescent="0.3">
      <c r="A220" s="76" t="s">
        <v>731</v>
      </c>
      <c r="B220" s="77" t="s">
        <v>732</v>
      </c>
    </row>
  </sheetData>
  <sheetProtection algorithmName="SHA-512" hashValue="I+htT1SzJBHCIOSxPYsil6koPnv8o7e+GpsGJwQY3dyD0sXJKJR8JV0OT2mUK9+ExKruLOanua5WQOs9voVNYg==" saltValue="0mJsiqDTvYulfDYg1pgLhg==" spinCount="100000" sheet="1" objects="1" scenarios="1"/>
  <mergeCells count="15">
    <mergeCell ref="A214:B214"/>
    <mergeCell ref="A215:B215"/>
    <mergeCell ref="A114:B114"/>
    <mergeCell ref="A115:B115"/>
    <mergeCell ref="A80:B80"/>
    <mergeCell ref="A141:B141"/>
    <mergeCell ref="A158:B158"/>
    <mergeCell ref="A159:B159"/>
    <mergeCell ref="A179:B179"/>
    <mergeCell ref="A178:B178"/>
    <mergeCell ref="A120:B120"/>
    <mergeCell ref="A121:B121"/>
    <mergeCell ref="A123:B123"/>
    <mergeCell ref="A129:B129"/>
    <mergeCell ref="A140:B140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B145:B15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7E5FC22A97D54BAA8FF936B604ED66" ma:contentTypeVersion="13" ma:contentTypeDescription="Crear nuevo documento." ma:contentTypeScope="" ma:versionID="07cffd1ba892cadadd1da009765ef69c">
  <xsd:schema xmlns:xsd="http://www.w3.org/2001/XMLSchema" xmlns:xs="http://www.w3.org/2001/XMLSchema" xmlns:p="http://schemas.microsoft.com/office/2006/metadata/properties" xmlns:ns2="81ccede9-2b47-4a4e-a973-f00f144551ca" xmlns:ns3="10b25c61-e9ae-4a15-8988-3484429c5e63" targetNamespace="http://schemas.microsoft.com/office/2006/metadata/properties" ma:root="true" ma:fieldsID="1164d2728fd16f9ff17f62fb4b6963c1" ns2:_="" ns3:_="">
    <xsd:import namespace="81ccede9-2b47-4a4e-a973-f00f144551ca"/>
    <xsd:import namespace="10b25c61-e9ae-4a15-8988-3484429c5e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cede9-2b47-4a4e-a973-f00f144551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930227d-965d-4741-b43f-4ac5cbdeb3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25c61-e9ae-4a15-8988-3484429c5e6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55bf85-126c-434f-bcb6-68710f961177}" ma:internalName="TaxCatchAll" ma:showField="CatchAllData" ma:web="10b25c61-e9ae-4a15-8988-3484429c5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b25c61-e9ae-4a15-8988-3484429c5e63" xsi:nil="true"/>
    <lcf76f155ced4ddcb4097134ff3c332f xmlns="81ccede9-2b47-4a4e-a973-f00f144551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5B6E6D7-32A3-48E9-9F0C-F8D0AF759D35}"/>
</file>

<file path=customXml/itemProps2.xml><?xml version="1.0" encoding="utf-8"?>
<ds:datastoreItem xmlns:ds="http://schemas.openxmlformats.org/officeDocument/2006/customXml" ds:itemID="{77E0048A-1ACF-4EF7-9AC8-21F12413AA68}"/>
</file>

<file path=customXml/itemProps3.xml><?xml version="1.0" encoding="utf-8"?>
<ds:datastoreItem xmlns:ds="http://schemas.openxmlformats.org/officeDocument/2006/customXml" ds:itemID="{0829A83F-A6B4-4062-90D8-91F54BCEBC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27</vt:i4>
      </vt:variant>
    </vt:vector>
  </HeadingPairs>
  <TitlesOfParts>
    <vt:vector size="32" baseType="lpstr">
      <vt:lpstr>L</vt:lpstr>
      <vt:lpstr>Tablas_Resumenes</vt:lpstr>
      <vt:lpstr>Datos</vt:lpstr>
      <vt:lpstr>BD_Servicios</vt:lpstr>
      <vt:lpstr>L_Conversion</vt:lpstr>
      <vt:lpstr>Datos!Área_de_impresión</vt:lpstr>
      <vt:lpstr>L_Conversion!Área_de_impresión</vt:lpstr>
      <vt:lpstr>CAT_LIC_H</vt:lpstr>
      <vt:lpstr>Codigo</vt:lpstr>
      <vt:lpstr>Dias_licencia_tipo_8_H</vt:lpstr>
      <vt:lpstr>Dias_Licencia_Tipo_8_M</vt:lpstr>
      <vt:lpstr>Mes_Inicio_Termino</vt:lpstr>
      <vt:lpstr>Tabla_01_Mes</vt:lpstr>
      <vt:lpstr>Tabla_04_Estado_Resolucion</vt:lpstr>
      <vt:lpstr>Tabla_04_Sist.Rem</vt:lpstr>
      <vt:lpstr>Tabla_06_10_40_60_70_EUS</vt:lpstr>
      <vt:lpstr>Tabla_06_11_12_15076_19664</vt:lpstr>
      <vt:lpstr>Tabla_06_13</vt:lpstr>
      <vt:lpstr>Tabla_06_14</vt:lpstr>
      <vt:lpstr>Tabla_06_15</vt:lpstr>
      <vt:lpstr>Tabla_06_20_Fiscalizadores</vt:lpstr>
      <vt:lpstr>Tabla_06_30_Poder_Judicial</vt:lpstr>
      <vt:lpstr>Tabla_06_50_Ministerio_Publico</vt:lpstr>
      <vt:lpstr>Tabla_06_80_Codigo_del_Trabajo</vt:lpstr>
      <vt:lpstr>Tabla_06_90_Personal_Fuera_de_Dotacion</vt:lpstr>
      <vt:lpstr>Tabla_06_DFL29_61_Experimentales</vt:lpstr>
      <vt:lpstr>Tabla_07_Personal_de_la_Dotacion</vt:lpstr>
      <vt:lpstr>Tabla_07_Personal_Fuera_de_Dotacion</vt:lpstr>
      <vt:lpstr>Tabla_18_Tipos_licencias</vt:lpstr>
      <vt:lpstr>Tabla_27_Matriz_Base</vt:lpstr>
      <vt:lpstr>Tabla_33_estado_recuperacion</vt:lpstr>
      <vt:lpstr>Tabla_Personal</vt:lpstr>
    </vt:vector>
  </TitlesOfParts>
  <Company>BY 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Estadísticas Dipres</dc:creator>
  <cp:lastModifiedBy>Natalia Saud Gaete</cp:lastModifiedBy>
  <cp:lastPrinted>2025-04-23T17:14:07Z</cp:lastPrinted>
  <dcterms:created xsi:type="dcterms:W3CDTF">2011-11-11T16:50:15Z</dcterms:created>
  <dcterms:modified xsi:type="dcterms:W3CDTF">2026-01-23T13:05:33Z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0x010100E07E5FC22A97D54BAA8FF936B604ED66</vt:lpwstr>
  </property>
</Properties>
</file>